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51" windowWidth="15135" windowHeight="11100" tabRatio="839" activeTab="0"/>
  </bookViews>
  <sheets>
    <sheet name="VIB SPEC SHEET" sheetId="1" r:id="rId1"/>
    <sheet name="SALES ORDER" sheetId="2" state="hidden" r:id="rId2"/>
    <sheet name="BIN VIBRATORS" sheetId="3" state="hidden" r:id="rId3"/>
    <sheet name="EQUIP AND MAT" sheetId="4" state="hidden" r:id="rId4"/>
    <sheet name="AMP TABLES" sheetId="5" state="hidden" r:id="rId5"/>
    <sheet name="CONTROL DISCRIPTION" sheetId="6" state="hidden" r:id="rId6"/>
    <sheet name="SCREEN DATA" sheetId="7" state="hidden" r:id="rId7"/>
  </sheets>
  <definedNames>
    <definedName name="bin">'BIN VIBRATORS'!$A$3:$A$8</definedName>
    <definedName name="BinMaterialThickness">'BIN VIBRATORS'!$I$3:$I$12</definedName>
    <definedName name="BOTTOMMESH">'SCREEN DATA'!$T$4:$T$44</definedName>
    <definedName name="elecmodels">'EQUIP AND MAT'!$G$19:$G$44</definedName>
    <definedName name="HZ">'EQUIP AND MAT'!$H$4:$H$6</definedName>
    <definedName name="mechmodels">'EQUIP AND MAT'!$G$3:$G$14</definedName>
    <definedName name="_xlnm.Print_Area" localSheetId="5">'CONTROL DISCRIPTION'!$A$1:$R$191</definedName>
    <definedName name="_xlnm.Print_Area" localSheetId="0">'VIB SPEC SHEET'!$A$1:$AR$105</definedName>
    <definedName name="RECOMMEND">'CONTROL DISCRIPTION'!$A$182:$A$187</definedName>
    <definedName name="TOPMESH">'SCREEN DATA'!$R$4:$R$44</definedName>
  </definedNames>
  <calcPr fullCalcOnLoad="1"/>
</workbook>
</file>

<file path=xl/sharedStrings.xml><?xml version="1.0" encoding="utf-8"?>
<sst xmlns="http://schemas.openxmlformats.org/spreadsheetml/2006/main" count="444" uniqueCount="301">
  <si>
    <t>DATE</t>
  </si>
  <si>
    <t>ERIEZ ORDER #</t>
  </si>
  <si>
    <t>BILLING ADDRESS</t>
  </si>
  <si>
    <t>PRODUCT:</t>
  </si>
  <si>
    <t>BULK DENSITY:</t>
  </si>
  <si>
    <t>PRODUCT TEMP:</t>
  </si>
  <si>
    <t>PARTICLE SIZE:</t>
  </si>
  <si>
    <t>ANGLE OF REPOSE:</t>
  </si>
  <si>
    <t>EQUIPMENT:</t>
  </si>
  <si>
    <t>PAINT:</t>
  </si>
  <si>
    <t>MESH</t>
  </si>
  <si>
    <t>IMPACT PLATE:</t>
  </si>
  <si>
    <t>SCREEN</t>
  </si>
  <si>
    <t>OTHER FEATURES:</t>
  </si>
  <si>
    <t>CONTROL DESCRIPTION:</t>
  </si>
  <si>
    <t>VOLTAGE:</t>
  </si>
  <si>
    <t>CYCLE:</t>
  </si>
  <si>
    <t>VOLUMATIC FEEDER MACHINE:</t>
  </si>
  <si>
    <t>MODEL</t>
  </si>
  <si>
    <t>WELD TYPE:</t>
  </si>
  <si>
    <t>MATERIAL FINISH:</t>
  </si>
  <si>
    <t>CUSTOMER PO #</t>
  </si>
  <si>
    <t># OF UNITS</t>
  </si>
  <si>
    <t>TOP SCREEN:</t>
  </si>
  <si>
    <t>BOTTOM SCREEN:</t>
  </si>
  <si>
    <t>PHASE:</t>
  </si>
  <si>
    <t>PRODUCT ZONE:</t>
  </si>
  <si>
    <t>NON-PRODUCT ZONE:</t>
  </si>
  <si>
    <t>SPECIAL SURFACE COATINGS:</t>
  </si>
  <si>
    <t>REPRESENTATIVE</t>
  </si>
  <si>
    <t xml:space="preserve">REVIEWED BY </t>
  </si>
  <si>
    <t>CUSTOMER</t>
  </si>
  <si>
    <t>SHIPPING ADDRESS</t>
  </si>
  <si>
    <t>CONTACT:</t>
  </si>
  <si>
    <t>TITLE:</t>
  </si>
  <si>
    <t>PHONE:</t>
  </si>
  <si>
    <t>Mechanical</t>
  </si>
  <si>
    <t>HVS</t>
  </si>
  <si>
    <t>TM</t>
  </si>
  <si>
    <t>TMS</t>
  </si>
  <si>
    <t>TMR</t>
  </si>
  <si>
    <t>SM</t>
  </si>
  <si>
    <t>HVC</t>
  </si>
  <si>
    <t>HVF</t>
  </si>
  <si>
    <t>15A</t>
  </si>
  <si>
    <t>26C</t>
  </si>
  <si>
    <t>36C</t>
  </si>
  <si>
    <t>VMC</t>
  </si>
  <si>
    <t>52A</t>
  </si>
  <si>
    <t>58B</t>
  </si>
  <si>
    <t>62B</t>
  </si>
  <si>
    <t>65B</t>
  </si>
  <si>
    <t>70B</t>
  </si>
  <si>
    <t>75B</t>
  </si>
  <si>
    <t>85B</t>
  </si>
  <si>
    <t>98B</t>
  </si>
  <si>
    <t>105B</t>
  </si>
  <si>
    <t>115B</t>
  </si>
  <si>
    <t>CoDe</t>
  </si>
  <si>
    <t>cOdE</t>
  </si>
  <si>
    <t>TRAY CONFIG.</t>
  </si>
  <si>
    <t>EQUIPMENT</t>
  </si>
  <si>
    <t xml:space="preserve">MATERIAL TYPE:     </t>
  </si>
  <si>
    <t>Market Grade Screens</t>
  </si>
  <si>
    <t>Tensile Bolting Cloth</t>
  </si>
  <si>
    <t>TBC</t>
  </si>
  <si>
    <t>MG</t>
  </si>
  <si>
    <t>Mesh</t>
  </si>
  <si>
    <t>Wire</t>
  </si>
  <si>
    <t>Inches</t>
  </si>
  <si>
    <t>% O.A.</t>
  </si>
  <si>
    <t>mm</t>
  </si>
  <si>
    <t>Unit Cap</t>
  </si>
  <si>
    <t>Opening</t>
  </si>
  <si>
    <t>TOP SCREEN</t>
  </si>
  <si>
    <t>BOTTOM SCREEN</t>
  </si>
  <si>
    <t>MATERIAL FED FROM</t>
  </si>
  <si>
    <t>IS THE FEEDER CYCLED:</t>
  </si>
  <si>
    <t>Hz</t>
  </si>
  <si>
    <t>TRAY:</t>
  </si>
  <si>
    <t>DOWNSLOPE:</t>
  </si>
  <si>
    <t>UN/115-15A-FW-NSF - manual operation</t>
  </si>
  <si>
    <t>UN/115-15A-FW-0-10 VDC - signal following</t>
  </si>
  <si>
    <t>UN/115-15A-FW-4-20 MA - signal following</t>
  </si>
  <si>
    <t>UN/230-15A-FW-NSF - manual operation</t>
  </si>
  <si>
    <t>UN/230-15A-FW-0-10 VDC - signal following</t>
  </si>
  <si>
    <t>UN/230-15A-FW-4-20 MA - signal following</t>
  </si>
  <si>
    <t>°</t>
  </si>
  <si>
    <t>NUMBER OF DRIVES:</t>
  </si>
  <si>
    <t>ARRANGEMENT:</t>
  </si>
  <si>
    <t>MODEL/SERIES:</t>
  </si>
  <si>
    <t>DRIVE ORIENTATION:</t>
  </si>
  <si>
    <t>ENCLOSURE DESCRIPTION:</t>
  </si>
  <si>
    <t>46C</t>
  </si>
  <si>
    <t>48A</t>
  </si>
  <si>
    <t>56C</t>
  </si>
  <si>
    <t>HS10</t>
  </si>
  <si>
    <t>HS26</t>
  </si>
  <si>
    <t>HS36</t>
  </si>
  <si>
    <t>HS42</t>
  </si>
  <si>
    <t>HS46</t>
  </si>
  <si>
    <t>HS56</t>
  </si>
  <si>
    <t>HS66</t>
  </si>
  <si>
    <t>66C</t>
  </si>
  <si>
    <t>Drive Model</t>
  </si>
  <si>
    <t>AMPS 115V</t>
  </si>
  <si>
    <t>AMPS 230V</t>
  </si>
  <si>
    <t>AMPS 460V</t>
  </si>
  <si>
    <t xml:space="preserve">HSB4 </t>
  </si>
  <si>
    <t>set-up voltage</t>
  </si>
  <si>
    <t>max amps</t>
  </si>
  <si>
    <t>control desc.</t>
  </si>
  <si>
    <t>RECOMMENDATION</t>
  </si>
  <si>
    <t>INCH(ES) ABOVE TRAY BOTTOM</t>
  </si>
  <si>
    <t>Electro-magnetic</t>
  </si>
  <si>
    <t>in</t>
  </si>
  <si>
    <t>%</t>
  </si>
  <si>
    <t>°F</t>
  </si>
  <si>
    <t>WORLD AUTHORITY IN ADVANCED TECHNOLOGY FOR MAGNETIC, VIBRATORY AND METAL DETECTION APPLICATIONS</t>
  </si>
  <si>
    <t>ERIEZ MANUFACTURING CO.</t>
  </si>
  <si>
    <t>SALES ORDER (ERIEZ COPY)</t>
  </si>
  <si>
    <t>P.O. BOX 10608, ERIE, PA.   16514-0608 U.S.A.</t>
  </si>
  <si>
    <t>TELEPHONE: (814) 835-6000                      FAX: (814)838-4960</t>
  </si>
  <si>
    <t>ERIEZ ORDER NO.</t>
  </si>
  <si>
    <t>Customer Order Number</t>
  </si>
  <si>
    <t>Customer Number</t>
  </si>
  <si>
    <t>Terms:</t>
  </si>
  <si>
    <t>Date</t>
  </si>
  <si>
    <t>SOLD TO</t>
  </si>
  <si>
    <t>ATTN:</t>
  </si>
  <si>
    <t>SHIP TO</t>
  </si>
  <si>
    <t>TAX ID:</t>
  </si>
  <si>
    <t>TAX CERT:</t>
  </si>
  <si>
    <t>DATE SHIPPED</t>
  </si>
  <si>
    <t>PPD</t>
  </si>
  <si>
    <t>COLL</t>
  </si>
  <si>
    <t>CARTONS</t>
  </si>
  <si>
    <t>SKIDS</t>
  </si>
  <si>
    <t>CRATES</t>
  </si>
  <si>
    <t>BOXES</t>
  </si>
  <si>
    <t>ITEM/         SHIP DATE</t>
  </si>
  <si>
    <t>QTY</t>
  </si>
  <si>
    <t>ERIEZ PART NUMBER</t>
  </si>
  <si>
    <t>PRODUCT DESCRIPTION</t>
  </si>
  <si>
    <t>U/M</t>
  </si>
  <si>
    <t>UNIT PRICE</t>
  </si>
  <si>
    <t>TOTAL PRICE</t>
  </si>
  <si>
    <t>CUSTOMER REQUESTED SHIP DATE:</t>
  </si>
  <si>
    <t>VIA:</t>
  </si>
  <si>
    <t>(</t>
  </si>
  <si>
    <t>)</t>
  </si>
  <si>
    <t>SMALL</t>
  </si>
  <si>
    <t>LARGE</t>
  </si>
  <si>
    <t>MOUNTING:</t>
  </si>
  <si>
    <t>N/A</t>
  </si>
  <si>
    <t>30 HZ</t>
  </si>
  <si>
    <t>ELECTRO MODELS</t>
  </si>
  <si>
    <t>MECH MODELS</t>
  </si>
  <si>
    <t>ULTRA FORCE</t>
  </si>
  <si>
    <t>BRUTE FORCE</t>
  </si>
  <si>
    <t>AMPS 575V</t>
  </si>
  <si>
    <t>AMPS 380V</t>
  </si>
  <si>
    <t>44559807E</t>
  </si>
  <si>
    <t>44559804E</t>
  </si>
  <si>
    <t>44559801E</t>
  </si>
  <si>
    <t>NEMA 12 ONLY</t>
  </si>
  <si>
    <t>VTK460</t>
  </si>
  <si>
    <t>VTH460</t>
  </si>
  <si>
    <t>VTP460</t>
  </si>
  <si>
    <t>HD46</t>
  </si>
  <si>
    <t>HD56</t>
  </si>
  <si>
    <t>HD66</t>
  </si>
  <si>
    <t>HD46C</t>
  </si>
  <si>
    <t>HD56C</t>
  </si>
  <si>
    <t>HD66C</t>
  </si>
  <si>
    <t>APPLICATION INFORMATION:</t>
  </si>
  <si>
    <t>MOISTURE:</t>
  </si>
  <si>
    <t>SPECIFY:</t>
  </si>
  <si>
    <t>THICKNESS:</t>
  </si>
  <si>
    <t>BOTTOM:</t>
  </si>
  <si>
    <t>TYPE:</t>
  </si>
  <si>
    <t>MESH:</t>
  </si>
  <si>
    <t>HOLE DIAMETER:</t>
  </si>
  <si>
    <t>SCREEN AREA:</t>
  </si>
  <si>
    <t>WIRE DIA:</t>
  </si>
  <si>
    <t>OPTIONS:</t>
  </si>
  <si>
    <t>MATERIAL:</t>
  </si>
  <si>
    <t>OTHER OPTIONS:</t>
  </si>
  <si>
    <t>HS460-FUSED-NSF - manual operation</t>
  </si>
  <si>
    <t>GHS460-FUSED-NSF - manual operation</t>
  </si>
  <si>
    <t>VTGH460-4-20 MA - signal following</t>
  </si>
  <si>
    <t>KS460-FUSED-NSF - manual operation</t>
  </si>
  <si>
    <t>PS460-FUSED-NSF - manual operation</t>
  </si>
  <si>
    <t>item number</t>
  </si>
  <si>
    <r>
      <t xml:space="preserve">cells that need amp draw info for </t>
    </r>
    <r>
      <rPr>
        <b/>
        <sz val="12"/>
        <rFont val="Arial"/>
        <family val="2"/>
      </rPr>
      <t>current</t>
    </r>
    <r>
      <rPr>
        <sz val="10"/>
        <rFont val="Arial"/>
        <family val="0"/>
      </rPr>
      <t xml:space="preserve"> models</t>
    </r>
  </si>
  <si>
    <r>
      <t xml:space="preserve">cells that need amp draw info for </t>
    </r>
    <r>
      <rPr>
        <b/>
        <sz val="12"/>
        <rFont val="Arial"/>
        <family val="2"/>
      </rPr>
      <t>additional</t>
    </r>
    <r>
      <rPr>
        <sz val="10"/>
        <rFont val="Arial"/>
        <family val="0"/>
      </rPr>
      <t xml:space="preserve"> models</t>
    </r>
  </si>
  <si>
    <t>60 / 50 HZ</t>
  </si>
  <si>
    <t>MODEL AMP DRAW</t>
  </si>
  <si>
    <t xml:space="preserve">HS5 </t>
  </si>
  <si>
    <t>Numeral Equlivalent</t>
  </si>
  <si>
    <t>ELECTRO-MAG@ 50-60HZ</t>
  </si>
  <si>
    <t>ELECTRO-MAG@ 30HZ</t>
  </si>
  <si>
    <t>MECHANICAL @50-60HZ</t>
  </si>
  <si>
    <t>MECHANICAL @30HZ</t>
  </si>
  <si>
    <t>NEMA 4 ONLY</t>
  </si>
  <si>
    <t>NEMA 4X SS ONLY</t>
  </si>
  <si>
    <t>ABRASIVE:</t>
  </si>
  <si>
    <t>CORROSIVE:</t>
  </si>
  <si>
    <t>MODEL :</t>
  </si>
  <si>
    <t>AMP:</t>
  </si>
  <si>
    <t>POWERED BY A PORTABLE GENERATOR:</t>
  </si>
  <si>
    <r>
      <t xml:space="preserve">*NOTE: ADDITIONAL MODELS MAY BE ADDED BY ENTERING THE MODEL NAME (NUMBER) UNDER THE APPROPRIATE COLUMN. </t>
    </r>
    <r>
      <rPr>
        <b/>
        <sz val="10"/>
        <rFont val="Arial"/>
        <family val="2"/>
      </rPr>
      <t>AMP DRAW MUST BE DEFINED IN THE 'AMP TABLES' SHEET.</t>
    </r>
  </si>
  <si>
    <t>115V</t>
  </si>
  <si>
    <t>230V</t>
  </si>
  <si>
    <t>380V</t>
  </si>
  <si>
    <t>460V</t>
  </si>
  <si>
    <t>575V</t>
  </si>
  <si>
    <t>control description</t>
  </si>
  <si>
    <t>UN/115-2A-FW-NSF - manual operation</t>
  </si>
  <si>
    <t>UN/115-2A-FW-0-10 VDC - signal following</t>
  </si>
  <si>
    <t>UN/115-2A-FW-4-20 MA - signal following</t>
  </si>
  <si>
    <t>UN/115-6A-FW-NSF - manual operation</t>
  </si>
  <si>
    <t>UN/115-6A-FW-0-10 VDC - signal following</t>
  </si>
  <si>
    <t>UN/115-6A-FW-4-20 MA - signal following</t>
  </si>
  <si>
    <t>UN/230-1A-FW-NSF - manual operation</t>
  </si>
  <si>
    <t>UN/230-1A-FW-0-10 VDC - signal following</t>
  </si>
  <si>
    <t>UN/230-1A-FW-4-20 MA - signal following</t>
  </si>
  <si>
    <t>UN/230-3A-FW-NSF - manual operation</t>
  </si>
  <si>
    <t>UN/230-3A-FW-0-10 VDC - signal following</t>
  </si>
  <si>
    <t>UN/230-3A-FW-4-20 MA - signal following</t>
  </si>
  <si>
    <t>UN/230-8A-FW-NSF - manual operation</t>
  </si>
  <si>
    <t>UN/230-8A-FW-0-10 VDC - signal following</t>
  </si>
  <si>
    <t>UN/230-8A-FW-4-20 MA - signal following</t>
  </si>
  <si>
    <t>NEMA 12</t>
  </si>
  <si>
    <t>NEMA 4</t>
  </si>
  <si>
    <t>NEMA 4X SS</t>
  </si>
  <si>
    <t>*NOTE-To add a controller, enter appropriate information into the tan colored cells</t>
  </si>
  <si>
    <t>IS SHIPPING ADDRESS THE SAME AS BILLING ADDRESS?</t>
  </si>
  <si>
    <r>
      <t>lb/ft</t>
    </r>
    <r>
      <rPr>
        <vertAlign val="superscript"/>
        <sz val="11"/>
        <rFont val="Arial"/>
        <family val="2"/>
      </rPr>
      <t>3</t>
    </r>
  </si>
  <si>
    <r>
      <t xml:space="preserve">SPECIAL TRAY CONSTRUCTION: </t>
    </r>
    <r>
      <rPr>
        <sz val="11"/>
        <rFont val="Arial"/>
        <family val="2"/>
      </rPr>
      <t>(REFER TO DWG. 2N-9502996 FOR DETAIL OF SANITARY SPECIFICATION)</t>
    </r>
  </si>
  <si>
    <t xml:space="preserve">LINERS: </t>
  </si>
  <si>
    <t>REAR AND SIDE:</t>
  </si>
  <si>
    <t>DESCRIPTION OF SYSTEM (SKETCHED IF POSSIBLE) AND OTHER REQUIREMENTS:</t>
  </si>
  <si>
    <t>YES OR NO</t>
  </si>
  <si>
    <t>SCREEN:</t>
  </si>
  <si>
    <t>FRAME:</t>
  </si>
  <si>
    <t>CONSTRUCTION:</t>
  </si>
  <si>
    <t>SPECIFY WELD:</t>
  </si>
  <si>
    <t xml:space="preserve">SPECIFY WELD:    </t>
  </si>
  <si>
    <t>SPECIFY FINISH:</t>
  </si>
  <si>
    <t>SPECIFY COATING:</t>
  </si>
  <si>
    <t xml:space="preserve">SPECIFY COATING: </t>
  </si>
  <si>
    <t>tph</t>
  </si>
  <si>
    <t>Bin series</t>
  </si>
  <si>
    <t>Voltage</t>
  </si>
  <si>
    <t>Min</t>
  </si>
  <si>
    <t>Max</t>
  </si>
  <si>
    <t>Wall Thickness</t>
  </si>
  <si>
    <t>W</t>
  </si>
  <si>
    <t>X   L</t>
  </si>
  <si>
    <t>X   D</t>
  </si>
  <si>
    <t>BIN VIBRATOR SIZE:</t>
  </si>
  <si>
    <t>HOPPER:</t>
  </si>
  <si>
    <t>SPECIFY SHAPE:</t>
  </si>
  <si>
    <t>SPECIFY OUTLET:</t>
  </si>
  <si>
    <t>IS DESIGN INFORMATION SPECIFIED ON MTR/ER:</t>
  </si>
  <si>
    <t>TOTAL AMPS:</t>
  </si>
  <si>
    <t>NUMBER OF BIN VIBRATORS:</t>
  </si>
  <si>
    <t>VIB BIN</t>
  </si>
  <si>
    <t>AMP DRAW</t>
  </si>
  <si>
    <t>VOLUME:</t>
  </si>
  <si>
    <t>SHAPE:</t>
  </si>
  <si>
    <t>OUTLET:</t>
  </si>
  <si>
    <t>Mat. Thickness</t>
  </si>
  <si>
    <t>BIN VIBRATOR:</t>
  </si>
  <si>
    <t>ft</t>
  </si>
  <si>
    <t>ERIEZ CONTROL PRODUCT LINE</t>
  </si>
  <si>
    <t>TO FEEDER, FROM FEEDER TO</t>
  </si>
  <si>
    <t xml:space="preserve">    AMBIENT TEMP:</t>
  </si>
  <si>
    <t xml:space="preserve">    CAPACITY:</t>
  </si>
  <si>
    <t>X</t>
  </si>
  <si>
    <t>INLET:</t>
  </si>
  <si>
    <t>BURDEN DEPTH:</t>
  </si>
  <si>
    <t>fpm</t>
  </si>
  <si>
    <t>16 Ga.</t>
  </si>
  <si>
    <t>15 Ga.</t>
  </si>
  <si>
    <t>14 Ga.</t>
  </si>
  <si>
    <t>13 Ga.</t>
  </si>
  <si>
    <t>12 Ga.</t>
  </si>
  <si>
    <t>11 Ga.</t>
  </si>
  <si>
    <t>10 Ga.</t>
  </si>
  <si>
    <t>9 Ga.</t>
  </si>
  <si>
    <t>8 Ga.</t>
  </si>
  <si>
    <t>7 Ga.</t>
  </si>
  <si>
    <t>CONTROL:</t>
  </si>
  <si>
    <t>ITEM NUMBER</t>
  </si>
  <si>
    <t xml:space="preserve">   VIBRATORY SPECIFICATION SHEET</t>
  </si>
  <si>
    <t>VERSION 3</t>
  </si>
  <si>
    <t>REV</t>
  </si>
  <si>
    <t>* ALL CELLS RED UNTIL SECTION IS COMPLETELY FILLED OUT</t>
  </si>
  <si>
    <t>FEED RATE (w/ horizontal tray):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</si>
</sst>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[$-409]dddd\,\ mmmm\ dd\,\ yyyy"/>
    <numFmt numFmtId="172" formatCode="m/d/yy;@"/>
    <numFmt numFmtId="173" formatCode="0.000000000"/>
  </numFmts>
  <fonts count="8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22"/>
      <name val="Arial"/>
      <family val="2"/>
    </font>
    <font>
      <sz val="9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7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22"/>
      <color indexed="10"/>
      <name val="Arial"/>
      <family val="0"/>
    </font>
    <font>
      <sz val="12"/>
      <color indexed="9"/>
      <name val="Arial"/>
      <family val="2"/>
    </font>
    <font>
      <b/>
      <sz val="14"/>
      <name val="Arial"/>
      <family val="2"/>
    </font>
    <font>
      <b/>
      <sz val="20"/>
      <name val="ItalicT"/>
      <family val="0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Impact"/>
      <family val="2"/>
    </font>
    <font>
      <sz val="10"/>
      <name val="Stylus BT"/>
      <family val="2"/>
    </font>
    <font>
      <sz val="11"/>
      <name val="Impact"/>
      <family val="2"/>
    </font>
    <font>
      <sz val="10"/>
      <color indexed="10"/>
      <name val="Impact"/>
      <family val="2"/>
    </font>
    <font>
      <sz val="10"/>
      <name val="Impact"/>
      <family val="2"/>
    </font>
    <font>
      <sz val="10"/>
      <color indexed="9"/>
      <name val="Impact"/>
      <family val="2"/>
    </font>
    <font>
      <b/>
      <sz val="11"/>
      <color indexed="9"/>
      <name val="Arial"/>
      <family val="2"/>
    </font>
    <font>
      <sz val="15"/>
      <color indexed="10"/>
      <name val="Goudy Stout"/>
      <family val="1"/>
    </font>
    <font>
      <b/>
      <sz val="12"/>
      <name val="Stylus BT"/>
      <family val="2"/>
    </font>
    <font>
      <b/>
      <sz val="11"/>
      <color indexed="10"/>
      <name val="Arial Baltic"/>
      <family val="2"/>
    </font>
    <font>
      <b/>
      <sz val="10"/>
      <name val="Arial Baltic"/>
      <family val="2"/>
    </font>
    <font>
      <sz val="12"/>
      <color indexed="10"/>
      <name val="Arial Baltic"/>
      <family val="2"/>
    </font>
    <font>
      <b/>
      <sz val="12"/>
      <color indexed="10"/>
      <name val="Arial Baltic"/>
      <family val="2"/>
    </font>
    <font>
      <b/>
      <sz val="12"/>
      <name val="Arial Baltic"/>
      <family val="2"/>
    </font>
    <font>
      <b/>
      <u val="single"/>
      <sz val="12"/>
      <color indexed="10"/>
      <name val="Arial Baltic"/>
      <family val="2"/>
    </font>
    <font>
      <b/>
      <u val="single"/>
      <sz val="12"/>
      <name val="Arial Balt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170" fontId="10" fillId="0" borderId="13" xfId="0" applyNumberFormat="1" applyFont="1" applyFill="1" applyBorder="1" applyAlignment="1">
      <alignment horizontal="center"/>
    </xf>
    <xf numFmtId="10" fontId="10" fillId="0" borderId="13" xfId="0" applyNumberFormat="1" applyFont="1" applyFill="1" applyBorder="1" applyAlignment="1" quotePrefix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10" fontId="10" fillId="0" borderId="12" xfId="0" applyNumberFormat="1" applyFont="1" applyFill="1" applyBorder="1" applyAlignment="1" quotePrefix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0" fontId="9" fillId="0" borderId="11" xfId="0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0" fontId="9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4" borderId="0" xfId="0" applyFill="1" applyAlignment="1">
      <alignment/>
    </xf>
    <xf numFmtId="0" fontId="8" fillId="0" borderId="15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4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 horizontal="center"/>
      <protection/>
    </xf>
    <xf numFmtId="10" fontId="0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0" fontId="4" fillId="0" borderId="14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shrinkToFit="1"/>
      <protection/>
    </xf>
    <xf numFmtId="0" fontId="4" fillId="0" borderId="2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left"/>
      <protection/>
    </xf>
    <xf numFmtId="0" fontId="15" fillId="0" borderId="16" xfId="0" applyFont="1" applyBorder="1" applyAlignment="1" applyProtection="1">
      <alignment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 horizontal="left"/>
      <protection/>
    </xf>
    <xf numFmtId="0" fontId="19" fillId="0" borderId="21" xfId="0" applyFont="1" applyBorder="1" applyAlignment="1" applyProtection="1">
      <alignment horizontal="left"/>
      <protection/>
    </xf>
    <xf numFmtId="0" fontId="21" fillId="0" borderId="21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19" xfId="0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/>
      <protection locked="0"/>
    </xf>
    <xf numFmtId="0" fontId="8" fillId="0" borderId="24" xfId="0" applyFont="1" applyBorder="1" applyAlignment="1">
      <alignment horizontal="left" vertical="top" wrapText="1"/>
    </xf>
    <xf numFmtId="0" fontId="28" fillId="0" borderId="27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8" fillId="0" borderId="28" xfId="0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2" fontId="4" fillId="0" borderId="0" xfId="0" applyNumberFormat="1" applyFont="1" applyFill="1" applyAlignment="1" applyProtection="1">
      <alignment/>
      <protection/>
    </xf>
    <xf numFmtId="0" fontId="0" fillId="33" borderId="15" xfId="0" applyFill="1" applyBorder="1" applyAlignment="1">
      <alignment/>
    </xf>
    <xf numFmtId="0" fontId="11" fillId="0" borderId="0" xfId="0" applyFont="1" applyBorder="1" applyAlignment="1">
      <alignment horizontal="right"/>
    </xf>
    <xf numFmtId="0" fontId="28" fillId="0" borderId="27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10" xfId="0" applyFont="1" applyFill="1" applyBorder="1" applyAlignment="1" applyProtection="1">
      <alignment horizontal="left"/>
      <protection hidden="1"/>
    </xf>
    <xf numFmtId="0" fontId="27" fillId="0" borderId="3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1" fillId="0" borderId="11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left"/>
      <protection/>
    </xf>
    <xf numFmtId="0" fontId="12" fillId="0" borderId="31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1" fillId="34" borderId="32" xfId="0" applyFont="1" applyFill="1" applyBorder="1" applyAlignment="1" applyProtection="1">
      <alignment horizontal="center"/>
      <protection locked="0"/>
    </xf>
    <xf numFmtId="0" fontId="11" fillId="34" borderId="15" xfId="0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11" fillId="34" borderId="34" xfId="0" applyFont="1" applyFill="1" applyBorder="1" applyAlignment="1" applyProtection="1">
      <alignment horizontal="center"/>
      <protection locked="0"/>
    </xf>
    <xf numFmtId="0" fontId="11" fillId="34" borderId="35" xfId="0" applyFont="1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11" fillId="34" borderId="37" xfId="0" applyFont="1" applyFill="1" applyBorder="1" applyAlignment="1" applyProtection="1">
      <alignment horizontal="center"/>
      <protection locked="0"/>
    </xf>
    <xf numFmtId="0" fontId="11" fillId="34" borderId="38" xfId="0" applyFont="1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35" borderId="15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2" fontId="0" fillId="35" borderId="23" xfId="0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2" fontId="0" fillId="35" borderId="15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2" fontId="0" fillId="0" borderId="40" xfId="0" applyNumberFormat="1" applyFont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2" fontId="0" fillId="35" borderId="24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2" fontId="0" fillId="34" borderId="15" xfId="0" applyNumberFormat="1" applyFont="1" applyFill="1" applyBorder="1" applyAlignment="1" applyProtection="1">
      <alignment horizontal="center"/>
      <protection locked="0"/>
    </xf>
    <xf numFmtId="2" fontId="0" fillId="34" borderId="23" xfId="0" applyNumberFormat="1" applyFont="1" applyFill="1" applyBorder="1" applyAlignment="1" applyProtection="1">
      <alignment horizontal="center"/>
      <protection locked="0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38" xfId="0" applyFont="1" applyFill="1" applyBorder="1" applyAlignment="1" applyProtection="1">
      <alignment horizontal="center"/>
      <protection locked="0"/>
    </xf>
    <xf numFmtId="0" fontId="0" fillId="35" borderId="41" xfId="0" applyFont="1" applyFill="1" applyBorder="1" applyAlignment="1" applyProtection="1">
      <alignment horizontal="center"/>
      <protection locked="0"/>
    </xf>
    <xf numFmtId="0" fontId="0" fillId="35" borderId="42" xfId="0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 horizontal="center"/>
      <protection locked="0"/>
    </xf>
    <xf numFmtId="0" fontId="0" fillId="35" borderId="43" xfId="0" applyFont="1" applyFill="1" applyBorder="1" applyAlignment="1" applyProtection="1">
      <alignment horizontal="center"/>
      <protection locked="0"/>
    </xf>
    <xf numFmtId="0" fontId="0" fillId="35" borderId="44" xfId="0" applyFont="1" applyFill="1" applyBorder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center"/>
      <protection locked="0"/>
    </xf>
    <xf numFmtId="0" fontId="0" fillId="35" borderId="22" xfId="0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35" xfId="0" applyFont="1" applyFill="1" applyBorder="1" applyAlignment="1" applyProtection="1">
      <alignment horizontal="center"/>
      <protection locked="0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42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 horizontal="center"/>
      <protection locked="0"/>
    </xf>
    <xf numFmtId="0" fontId="0" fillId="35" borderId="4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/>
    </xf>
    <xf numFmtId="0" fontId="0" fillId="34" borderId="15" xfId="0" applyFont="1" applyFill="1" applyBorder="1" applyAlignment="1" applyProtection="1">
      <alignment horizontal="left"/>
      <protection/>
    </xf>
    <xf numFmtId="0" fontId="0" fillId="34" borderId="35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left"/>
      <protection/>
    </xf>
    <xf numFmtId="0" fontId="0" fillId="34" borderId="35" xfId="0" applyFill="1" applyBorder="1" applyAlignment="1" applyProtection="1">
      <alignment horizontal="left"/>
      <protection/>
    </xf>
    <xf numFmtId="0" fontId="0" fillId="34" borderId="24" xfId="0" applyFill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0" fontId="0" fillId="34" borderId="24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left"/>
      <protection/>
    </xf>
    <xf numFmtId="0" fontId="4" fillId="0" borderId="45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26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right"/>
      <protection/>
    </xf>
    <xf numFmtId="0" fontId="31" fillId="0" borderId="26" xfId="0" applyFont="1" applyFill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 horizontal="right"/>
      <protection/>
    </xf>
    <xf numFmtId="0" fontId="4" fillId="0" borderId="45" xfId="0" applyFont="1" applyFill="1" applyBorder="1" applyAlignment="1" applyProtection="1">
      <alignment horizontal="right"/>
      <protection/>
    </xf>
    <xf numFmtId="0" fontId="31" fillId="0" borderId="45" xfId="0" applyFont="1" applyFill="1" applyBorder="1" applyAlignment="1" applyProtection="1">
      <alignment horizontal="right"/>
      <protection/>
    </xf>
    <xf numFmtId="0" fontId="4" fillId="0" borderId="45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3" fontId="6" fillId="0" borderId="0" xfId="0" applyNumberFormat="1" applyFont="1" applyBorder="1" applyAlignment="1" applyProtection="1">
      <alignment horizontal="center"/>
      <protection/>
    </xf>
    <xf numFmtId="13" fontId="6" fillId="0" borderId="26" xfId="0" applyNumberFormat="1" applyFont="1" applyFill="1" applyBorder="1" applyAlignment="1" applyProtection="1">
      <alignment horizontal="center"/>
      <protection/>
    </xf>
    <xf numFmtId="13" fontId="6" fillId="0" borderId="0" xfId="0" applyNumberFormat="1" applyFont="1" applyFill="1" applyBorder="1" applyAlignment="1" applyProtection="1">
      <alignment horizontal="center"/>
      <protection/>
    </xf>
    <xf numFmtId="10" fontId="6" fillId="0" borderId="0" xfId="0" applyNumberFormat="1" applyFont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168" fontId="6" fillId="0" borderId="26" xfId="0" applyNumberFormat="1" applyFont="1" applyBorder="1" applyAlignment="1" applyProtection="1">
      <alignment horizontal="center"/>
      <protection/>
    </xf>
    <xf numFmtId="10" fontId="6" fillId="0" borderId="26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hidden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25" xfId="0" applyFont="1" applyBorder="1" applyAlignment="1" applyProtection="1">
      <alignment horizontal="center"/>
      <protection/>
    </xf>
    <xf numFmtId="0" fontId="4" fillId="0" borderId="25" xfId="0" applyFont="1" applyBorder="1" applyAlignment="1">
      <alignment/>
    </xf>
    <xf numFmtId="0" fontId="0" fillId="0" borderId="0" xfId="0" applyFill="1" applyAlignment="1" applyProtection="1">
      <alignment horizontal="center"/>
      <protection/>
    </xf>
    <xf numFmtId="170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0" fontId="37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39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9" fillId="0" borderId="2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0" fillId="0" borderId="26" xfId="0" applyFont="1" applyBorder="1" applyAlignment="1" applyProtection="1">
      <alignment wrapText="1"/>
      <protection/>
    </xf>
    <xf numFmtId="0" fontId="41" fillId="0" borderId="26" xfId="0" applyFont="1" applyBorder="1" applyAlignment="1" applyProtection="1">
      <alignment wrapText="1"/>
      <protection/>
    </xf>
    <xf numFmtId="0" fontId="31" fillId="0" borderId="0" xfId="0" applyFont="1" applyFill="1" applyAlignment="1" applyProtection="1">
      <alignment/>
      <protection/>
    </xf>
    <xf numFmtId="0" fontId="42" fillId="0" borderId="26" xfId="0" applyFont="1" applyBorder="1" applyAlignment="1" applyProtection="1">
      <alignment horizontal="center" wrapText="1"/>
      <protection/>
    </xf>
    <xf numFmtId="0" fontId="43" fillId="0" borderId="26" xfId="0" applyFont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 horizontal="center"/>
      <protection/>
    </xf>
    <xf numFmtId="0" fontId="31" fillId="0" borderId="26" xfId="0" applyFont="1" applyFill="1" applyBorder="1" applyAlignment="1" applyProtection="1">
      <alignment horizontal="center"/>
      <protection/>
    </xf>
    <xf numFmtId="0" fontId="31" fillId="0" borderId="26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3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8" fillId="35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9" fillId="0" borderId="12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49" fillId="0" borderId="12" xfId="0" applyFont="1" applyFill="1" applyBorder="1" applyAlignment="1" applyProtection="1">
      <alignment horizontal="center"/>
      <protection locked="0"/>
    </xf>
    <xf numFmtId="0" fontId="49" fillId="0" borderId="12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9" fillId="0" borderId="25" xfId="0" applyFont="1" applyFill="1" applyBorder="1" applyAlignment="1" applyProtection="1">
      <alignment horizontal="center"/>
      <protection locked="0"/>
    </xf>
    <xf numFmtId="0" fontId="49" fillId="0" borderId="25" xfId="0" applyFont="1" applyBorder="1" applyAlignment="1" applyProtection="1">
      <alignment/>
      <protection locked="0"/>
    </xf>
    <xf numFmtId="0" fontId="49" fillId="0" borderId="2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9" fillId="0" borderId="12" xfId="0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 horizontal="center"/>
      <protection locked="0"/>
    </xf>
    <xf numFmtId="1" fontId="49" fillId="0" borderId="2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2" fontId="49" fillId="0" borderId="25" xfId="0" applyNumberFormat="1" applyFont="1" applyFill="1" applyBorder="1" applyAlignment="1" applyProtection="1">
      <alignment horizontal="center"/>
      <protection/>
    </xf>
    <xf numFmtId="0" fontId="49" fillId="0" borderId="2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9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50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9" fillId="0" borderId="12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37" fillId="0" borderId="12" xfId="0" applyFont="1" applyBorder="1" applyAlignment="1" applyProtection="1">
      <alignment/>
      <protection locked="0"/>
    </xf>
    <xf numFmtId="168" fontId="49" fillId="0" borderId="12" xfId="0" applyNumberFormat="1" applyFont="1" applyBorder="1" applyAlignment="1" applyProtection="1">
      <alignment horizontal="center"/>
      <protection locked="0"/>
    </xf>
    <xf numFmtId="14" fontId="50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 locked="0"/>
    </xf>
    <xf numFmtId="0" fontId="47" fillId="0" borderId="12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49" fontId="49" fillId="0" borderId="12" xfId="0" applyNumberFormat="1" applyFont="1" applyFill="1" applyBorder="1" applyAlignment="1" applyProtection="1">
      <alignment horizontal="center"/>
      <protection locked="0"/>
    </xf>
    <xf numFmtId="49" fontId="49" fillId="0" borderId="12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>
      <alignment/>
    </xf>
    <xf numFmtId="0" fontId="6" fillId="0" borderId="0" xfId="0" applyFont="1" applyAlignment="1">
      <alignment/>
    </xf>
    <xf numFmtId="10" fontId="49" fillId="0" borderId="12" xfId="0" applyNumberFormat="1" applyFont="1" applyBorder="1" applyAlignment="1" applyProtection="1">
      <alignment horizontal="center"/>
      <protection/>
    </xf>
    <xf numFmtId="0" fontId="49" fillId="0" borderId="12" xfId="0" applyFont="1" applyBorder="1" applyAlignment="1" applyProtection="1">
      <alignment/>
      <protection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9" fillId="0" borderId="12" xfId="0" applyFont="1" applyBorder="1" applyAlignment="1">
      <alignment horizontal="center"/>
    </xf>
    <xf numFmtId="0" fontId="51" fillId="0" borderId="0" xfId="0" applyFont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>
      <alignment horizontal="left" vertical="top" wrapText="1"/>
    </xf>
    <xf numFmtId="13" fontId="49" fillId="0" borderId="12" xfId="0" applyNumberFormat="1" applyFont="1" applyFill="1" applyBorder="1" applyAlignment="1" applyProtection="1">
      <alignment horizontal="center"/>
      <protection locked="0"/>
    </xf>
    <xf numFmtId="13" fontId="49" fillId="0" borderId="12" xfId="0" applyNumberFormat="1" applyFont="1" applyBorder="1" applyAlignment="1" applyProtection="1">
      <alignment/>
      <protection locked="0"/>
    </xf>
    <xf numFmtId="0" fontId="49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9" fillId="0" borderId="12" xfId="0" applyFont="1" applyFill="1" applyBorder="1" applyAlignment="1" applyProtection="1">
      <alignment horizontal="center"/>
      <protection/>
    </xf>
    <xf numFmtId="2" fontId="49" fillId="0" borderId="12" xfId="0" applyNumberFormat="1" applyFont="1" applyBorder="1" applyAlignment="1" applyProtection="1">
      <alignment horizontal="center"/>
      <protection/>
    </xf>
    <xf numFmtId="0" fontId="50" fillId="0" borderId="12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36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 horizontal="left"/>
      <protection/>
    </xf>
    <xf numFmtId="0" fontId="49" fillId="0" borderId="12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50" fillId="0" borderId="12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/>
      <protection/>
    </xf>
    <xf numFmtId="168" fontId="49" fillId="0" borderId="12" xfId="0" applyNumberFormat="1" applyFont="1" applyBorder="1" applyAlignment="1" applyProtection="1">
      <alignment/>
      <protection locked="0"/>
    </xf>
    <xf numFmtId="168" fontId="49" fillId="0" borderId="25" xfId="0" applyNumberFormat="1" applyFont="1" applyBorder="1" applyAlignment="1" applyProtection="1">
      <alignment horizontal="center"/>
      <protection locked="0"/>
    </xf>
    <xf numFmtId="0" fontId="50" fillId="0" borderId="0" xfId="0" applyFont="1" applyAlignment="1">
      <alignment horizontal="left" vertical="top" wrapText="1"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left" vertical="top" wrapText="1"/>
      <protection locked="0"/>
    </xf>
    <xf numFmtId="0" fontId="50" fillId="0" borderId="0" xfId="0" applyFont="1" applyAlignment="1" applyProtection="1">
      <alignment horizontal="left" vertical="top" wrapText="1"/>
      <protection locked="0"/>
    </xf>
    <xf numFmtId="0" fontId="50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5" fillId="0" borderId="43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left" wrapText="1" shrinkToFit="1"/>
      <protection/>
    </xf>
    <xf numFmtId="0" fontId="15" fillId="0" borderId="20" xfId="0" applyFont="1" applyBorder="1" applyAlignment="1" applyProtection="1">
      <alignment wrapText="1" shrinkToFit="1"/>
      <protection/>
    </xf>
    <xf numFmtId="0" fontId="15" fillId="0" borderId="17" xfId="0" applyFont="1" applyBorder="1" applyAlignment="1" applyProtection="1">
      <alignment wrapText="1" shrinkToFit="1"/>
      <protection/>
    </xf>
    <xf numFmtId="0" fontId="15" fillId="0" borderId="18" xfId="0" applyFont="1" applyBorder="1" applyAlignment="1" applyProtection="1">
      <alignment wrapText="1" shrinkToFi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shrinkToFit="1"/>
      <protection/>
    </xf>
    <xf numFmtId="0" fontId="15" fillId="0" borderId="43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shrinkToFit="1"/>
      <protection/>
    </xf>
    <xf numFmtId="168" fontId="19" fillId="0" borderId="16" xfId="0" applyNumberFormat="1" applyFont="1" applyBorder="1" applyAlignment="1" applyProtection="1">
      <alignment horizontal="left"/>
      <protection/>
    </xf>
    <xf numFmtId="168" fontId="15" fillId="0" borderId="19" xfId="0" applyNumberFormat="1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/>
      <protection/>
    </xf>
    <xf numFmtId="0" fontId="19" fillId="0" borderId="16" xfId="0" applyFont="1" applyBorder="1" applyAlignment="1" applyProtection="1">
      <alignment horizontal="left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left"/>
      <protection/>
    </xf>
    <xf numFmtId="0" fontId="15" fillId="0" borderId="18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19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/>
      <protection/>
    </xf>
    <xf numFmtId="0" fontId="24" fillId="37" borderId="0" xfId="0" applyFont="1" applyFill="1" applyAlignment="1" applyProtection="1">
      <alignment/>
      <protection locked="0"/>
    </xf>
    <xf numFmtId="0" fontId="24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24" fillId="0" borderId="16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0" borderId="0" xfId="0" applyFont="1" applyAlignment="1" applyProtection="1">
      <alignment shrinkToFit="1"/>
      <protection/>
    </xf>
    <xf numFmtId="172" fontId="4" fillId="0" borderId="14" xfId="0" applyNumberFormat="1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 locked="0"/>
    </xf>
    <xf numFmtId="0" fontId="16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15" fillId="0" borderId="17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 horizontal="left"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right" shrinkToFit="1"/>
      <protection/>
    </xf>
    <xf numFmtId="0" fontId="0" fillId="0" borderId="0" xfId="0" applyAlignment="1" applyProtection="1">
      <alignment horizontal="right" shrinkToFit="1"/>
      <protection/>
    </xf>
    <xf numFmtId="0" fontId="0" fillId="0" borderId="0" xfId="0" applyAlignment="1" applyProtection="1">
      <alignment horizontal="center" wrapText="1"/>
      <protection/>
    </xf>
    <xf numFmtId="0" fontId="0" fillId="34" borderId="46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47" xfId="0" applyFill="1" applyBorder="1" applyAlignment="1">
      <alignment wrapText="1"/>
    </xf>
    <xf numFmtId="0" fontId="0" fillId="34" borderId="31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30" xfId="0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0" fontId="0" fillId="0" borderId="49" xfId="0" applyBorder="1" applyAlignment="1">
      <alignment/>
    </xf>
    <xf numFmtId="0" fontId="0" fillId="33" borderId="0" xfId="0" applyFill="1" applyAlignment="1">
      <alignment wrapText="1" shrinkToFit="1"/>
    </xf>
    <xf numFmtId="0" fontId="0" fillId="0" borderId="0" xfId="0" applyAlignment="1">
      <alignment wrapText="1" shrinkToFit="1"/>
    </xf>
    <xf numFmtId="0" fontId="26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 vertical="center" textRotation="90"/>
    </xf>
    <xf numFmtId="0" fontId="32" fillId="0" borderId="0" xfId="0" applyFont="1" applyBorder="1" applyAlignment="1" applyProtection="1">
      <alignment/>
      <protection/>
    </xf>
    <xf numFmtId="0" fontId="33" fillId="0" borderId="0" xfId="0" applyFont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0">
    <dxf>
      <font>
        <color indexed="9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10"/>
      </font>
    </dxf>
    <dxf>
      <border>
        <left style="thin"/>
        <right style="thin"/>
        <top style="thin"/>
        <bottom style="thin"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auto="1"/>
      </font>
    </dxf>
    <dxf>
      <font>
        <color indexed="9"/>
      </font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</dxf>
    <dxf>
      <font>
        <color auto="1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</dxf>
    <dxf>
      <font>
        <color auto="1"/>
      </font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auto="1"/>
      </font>
    </dxf>
    <dxf>
      <font>
        <color auto="1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border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border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5</xdr:col>
      <xdr:colOff>171450</xdr:colOff>
      <xdr:row>5</xdr:row>
      <xdr:rowOff>123825</xdr:rowOff>
    </xdr:to>
    <xdr:pic>
      <xdr:nvPicPr>
        <xdr:cNvPr id="1" name="Picture 1" descr="smallblac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1114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4</xdr:col>
      <xdr:colOff>266700</xdr:colOff>
      <xdr:row>2</xdr:row>
      <xdr:rowOff>333375</xdr:rowOff>
    </xdr:to>
    <xdr:pic>
      <xdr:nvPicPr>
        <xdr:cNvPr id="1" name="Picture 3" descr="smallblac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showGridLines="0" tabSelected="1" showOutlineSymbols="0" zoomScaleSheetLayoutView="100" zoomScalePageLayoutView="0" workbookViewId="0" topLeftCell="A1">
      <selection activeCell="W6" sqref="W6:Z6"/>
    </sheetView>
  </sheetViews>
  <sheetFormatPr defaultColWidth="3.28125" defaultRowHeight="12.75"/>
  <cols>
    <col min="1" max="2" width="3.28125" style="40" customWidth="1"/>
    <col min="3" max="13" width="3.28125" style="59" customWidth="1"/>
    <col min="14" max="14" width="3.57421875" style="59" customWidth="1"/>
    <col min="15" max="15" width="17.421875" style="59" customWidth="1"/>
    <col min="16" max="41" width="3.28125" style="59" customWidth="1"/>
    <col min="42" max="42" width="2.28125" style="59" hidden="1" customWidth="1"/>
    <col min="43" max="43" width="4.140625" style="59" hidden="1" customWidth="1"/>
    <col min="44" max="16384" width="3.28125" style="59" customWidth="1"/>
  </cols>
  <sheetData>
    <row r="1" spans="2:44" ht="14.25" customHeight="1"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94" t="s">
        <v>297</v>
      </c>
      <c r="AM1" s="395"/>
      <c r="AN1" s="395"/>
      <c r="AO1" s="395"/>
      <c r="AP1" s="376"/>
      <c r="AQ1" s="376"/>
      <c r="AR1" s="376"/>
    </row>
    <row r="2" spans="1:44" ht="14.25" customHeight="1">
      <c r="A2" s="401" t="s">
        <v>296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6" t="s">
        <v>298</v>
      </c>
      <c r="AN2" s="396"/>
      <c r="AO2" s="391"/>
      <c r="AP2" s="376"/>
      <c r="AQ2" s="376"/>
      <c r="AR2" s="376"/>
    </row>
    <row r="3" spans="1:44" ht="14.25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76"/>
      <c r="AN3" s="376"/>
      <c r="AO3" s="376"/>
      <c r="AP3" s="376"/>
      <c r="AQ3" s="376"/>
      <c r="AR3" s="376"/>
    </row>
    <row r="4" spans="1:44" ht="14.25">
      <c r="A4" s="376"/>
      <c r="B4" s="376"/>
      <c r="C4" s="376"/>
      <c r="D4" s="376"/>
      <c r="E4" s="376"/>
      <c r="F4" s="376"/>
      <c r="G4" s="376"/>
      <c r="H4" s="397" t="s">
        <v>299</v>
      </c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76"/>
      <c r="AJ4" s="376"/>
      <c r="AK4" s="376"/>
      <c r="AL4" s="376"/>
      <c r="AM4" s="376"/>
      <c r="AN4" s="376"/>
      <c r="AO4" s="376"/>
      <c r="AP4" s="376"/>
      <c r="AQ4" s="376"/>
      <c r="AR4" s="376"/>
    </row>
    <row r="5" spans="1:13" ht="4.5" customHeight="1">
      <c r="A5" s="173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43" s="53" customFormat="1" ht="21.75" customHeight="1">
      <c r="A6" s="392" t="s">
        <v>0</v>
      </c>
      <c r="B6" s="392"/>
      <c r="C6" s="431">
        <f ca="1">NOW()</f>
        <v>42381.65054212963</v>
      </c>
      <c r="D6" s="431"/>
      <c r="E6" s="431"/>
      <c r="F6" s="431"/>
      <c r="H6" s="392" t="s">
        <v>21</v>
      </c>
      <c r="I6" s="415"/>
      <c r="J6" s="415"/>
      <c r="K6" s="415"/>
      <c r="L6" s="415"/>
      <c r="M6" s="415"/>
      <c r="N6" s="433"/>
      <c r="O6" s="434"/>
      <c r="P6" s="434"/>
      <c r="Q6" s="434"/>
      <c r="R6" s="398" t="s">
        <v>1</v>
      </c>
      <c r="S6" s="435"/>
      <c r="T6" s="435"/>
      <c r="U6" s="435"/>
      <c r="V6" s="435"/>
      <c r="W6" s="400"/>
      <c r="X6" s="400"/>
      <c r="Y6" s="400"/>
      <c r="Z6" s="400"/>
      <c r="AA6" s="398" t="s">
        <v>22</v>
      </c>
      <c r="AB6" s="415"/>
      <c r="AC6" s="415"/>
      <c r="AD6" s="415"/>
      <c r="AE6" s="400"/>
      <c r="AF6" s="400"/>
      <c r="AG6" s="424"/>
      <c r="AH6" s="423" t="s">
        <v>295</v>
      </c>
      <c r="AI6" s="423"/>
      <c r="AJ6" s="423"/>
      <c r="AK6" s="423"/>
      <c r="AL6" s="423"/>
      <c r="AM6" s="400"/>
      <c r="AN6" s="400"/>
      <c r="AO6" s="400"/>
      <c r="AP6" s="1"/>
      <c r="AQ6" s="1"/>
    </row>
    <row r="7" spans="1:43" s="53" customFormat="1" ht="22.5" customHeight="1">
      <c r="A7" s="410" t="s">
        <v>237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400" t="s">
        <v>243</v>
      </c>
      <c r="S7" s="400"/>
      <c r="T7" s="400"/>
      <c r="U7" s="400"/>
      <c r="V7" s="400"/>
      <c r="AD7" s="302"/>
      <c r="AE7" s="302"/>
      <c r="AF7" s="302"/>
      <c r="AG7" s="302"/>
      <c r="AH7" s="302"/>
      <c r="AM7" s="1"/>
      <c r="AN7" s="55"/>
      <c r="AO7" s="55"/>
      <c r="AP7" s="1"/>
      <c r="AQ7" s="1"/>
    </row>
    <row r="8" spans="1:41" s="53" customFormat="1" ht="22.5" customHeight="1">
      <c r="A8" s="432" t="s">
        <v>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50"/>
      <c r="U8" s="50"/>
      <c r="V8" s="50"/>
      <c r="W8" s="432" t="s">
        <v>32</v>
      </c>
      <c r="X8" s="432"/>
      <c r="Y8" s="432"/>
      <c r="Z8" s="432"/>
      <c r="AA8" s="432"/>
      <c r="AB8" s="432"/>
      <c r="AC8" s="432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</row>
    <row r="9" spans="1:41" s="53" customFormat="1" ht="22.5" customHeight="1">
      <c r="A9" s="400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373"/>
      <c r="U9" s="373"/>
      <c r="V9" s="373"/>
      <c r="W9" s="400"/>
      <c r="X9" s="400"/>
      <c r="Y9" s="400"/>
      <c r="Z9" s="400"/>
      <c r="AA9" s="400"/>
      <c r="AB9" s="400"/>
      <c r="AC9" s="400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</row>
    <row r="10" spans="1:41" s="53" customFormat="1" ht="22.5" customHeight="1">
      <c r="A10" s="409"/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373"/>
      <c r="U10" s="373"/>
      <c r="V10" s="373"/>
      <c r="W10" s="400"/>
      <c r="X10" s="400"/>
      <c r="Y10" s="400"/>
      <c r="Z10" s="400"/>
      <c r="AA10" s="400"/>
      <c r="AB10" s="400"/>
      <c r="AC10" s="400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</row>
    <row r="11" spans="1:41" s="53" customFormat="1" ht="22.5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373"/>
      <c r="U11" s="373"/>
      <c r="V11" s="373"/>
      <c r="W11" s="409"/>
      <c r="X11" s="409"/>
      <c r="Y11" s="409"/>
      <c r="Z11" s="409"/>
      <c r="AA11" s="409"/>
      <c r="AB11" s="409"/>
      <c r="AC11" s="409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</row>
    <row r="12" spans="1:41" s="53" customFormat="1" ht="22.5" customHeight="1">
      <c r="A12" s="49" t="s">
        <v>33</v>
      </c>
      <c r="B12" s="49"/>
      <c r="C12" s="50"/>
      <c r="D12" s="50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55"/>
      <c r="U12" s="55"/>
      <c r="V12" s="55"/>
      <c r="W12" s="49" t="s">
        <v>34</v>
      </c>
      <c r="X12" s="49"/>
      <c r="Y12" s="409"/>
      <c r="Z12" s="409"/>
      <c r="AA12" s="409"/>
      <c r="AB12" s="409"/>
      <c r="AC12" s="49"/>
      <c r="AE12" s="49" t="s">
        <v>35</v>
      </c>
      <c r="AI12" s="409"/>
      <c r="AJ12" s="409"/>
      <c r="AK12" s="409"/>
      <c r="AL12" s="409"/>
      <c r="AM12" s="409"/>
      <c r="AN12" s="409"/>
      <c r="AO12" s="409"/>
    </row>
    <row r="13" spans="1:44" s="53" customFormat="1" ht="17.25" customHeight="1" thickBot="1">
      <c r="A13" s="388">
        <f>IF(N6="",0,IF(OR(AE6="",R7="YES OR NO",A9="",IF(R7="NO",A9="",W9=""),E12="",Y12="",AI12=""),1,0))</f>
        <v>0</v>
      </c>
      <c r="B13" s="303"/>
      <c r="C13" s="304"/>
      <c r="D13" s="304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136"/>
      <c r="Z13" s="303"/>
      <c r="AA13" s="303"/>
      <c r="AB13" s="303"/>
      <c r="AC13" s="303"/>
      <c r="AD13" s="305"/>
      <c r="AE13" s="305"/>
      <c r="AF13" s="305"/>
      <c r="AG13" s="305"/>
      <c r="AH13" s="136"/>
      <c r="AI13" s="136"/>
      <c r="AJ13" s="136"/>
      <c r="AK13" s="136"/>
      <c r="AL13" s="303"/>
      <c r="AM13" s="303"/>
      <c r="AN13" s="303"/>
      <c r="AO13" s="305"/>
      <c r="AP13" s="55"/>
      <c r="AQ13" s="55"/>
      <c r="AR13" s="55"/>
    </row>
    <row r="14" spans="1:41" s="54" customFormat="1" ht="11.25" customHeight="1" thickTop="1">
      <c r="A14" s="306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</row>
    <row r="15" spans="1:41" s="53" customFormat="1" ht="21.75" customHeight="1">
      <c r="A15" s="436" t="s">
        <v>175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2" t="s">
        <v>76</v>
      </c>
      <c r="L15" s="437"/>
      <c r="M15" s="437"/>
      <c r="N15" s="437"/>
      <c r="O15" s="437"/>
      <c r="P15" s="437"/>
      <c r="Q15" s="437"/>
      <c r="R15" s="400"/>
      <c r="S15" s="400"/>
      <c r="T15" s="400"/>
      <c r="U15" s="400"/>
      <c r="V15" s="400"/>
      <c r="W15" s="400"/>
      <c r="X15" s="400"/>
      <c r="Y15" s="432" t="s">
        <v>277</v>
      </c>
      <c r="Z15" s="432"/>
      <c r="AA15" s="432"/>
      <c r="AB15" s="432"/>
      <c r="AC15" s="440"/>
      <c r="AD15" s="440"/>
      <c r="AE15" s="440"/>
      <c r="AF15" s="440"/>
      <c r="AG15" s="440"/>
      <c r="AH15" s="440"/>
      <c r="AI15" s="400"/>
      <c r="AJ15" s="405"/>
      <c r="AK15" s="405"/>
      <c r="AL15" s="405"/>
      <c r="AM15" s="405"/>
      <c r="AN15" s="405"/>
      <c r="AO15" s="405"/>
    </row>
    <row r="16" spans="1:41" s="53" customFormat="1" ht="22.5" customHeight="1">
      <c r="A16" s="406" t="s">
        <v>3</v>
      </c>
      <c r="B16" s="406"/>
      <c r="C16" s="406"/>
      <c r="D16" s="406"/>
      <c r="E16" s="400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377"/>
      <c r="U16" s="377"/>
      <c r="V16" s="377"/>
      <c r="W16" s="392" t="s">
        <v>176</v>
      </c>
      <c r="X16" s="392"/>
      <c r="Y16" s="392"/>
      <c r="Z16" s="392"/>
      <c r="AA16" s="400"/>
      <c r="AB16" s="411"/>
      <c r="AC16" s="411"/>
      <c r="AD16" s="89" t="s">
        <v>116</v>
      </c>
      <c r="AF16" s="392" t="s">
        <v>7</v>
      </c>
      <c r="AG16" s="392"/>
      <c r="AH16" s="392"/>
      <c r="AI16" s="392"/>
      <c r="AJ16" s="392"/>
      <c r="AK16" s="392"/>
      <c r="AL16" s="392"/>
      <c r="AM16" s="400"/>
      <c r="AN16" s="405"/>
      <c r="AO16" s="88" t="s">
        <v>87</v>
      </c>
    </row>
    <row r="17" spans="1:41" s="53" customFormat="1" ht="22.5" customHeight="1">
      <c r="A17" s="406" t="s">
        <v>4</v>
      </c>
      <c r="B17" s="406"/>
      <c r="C17" s="406"/>
      <c r="D17" s="406"/>
      <c r="E17" s="406"/>
      <c r="F17" s="404"/>
      <c r="G17" s="405"/>
      <c r="H17" s="405"/>
      <c r="I17" s="90" t="s">
        <v>238</v>
      </c>
      <c r="J17" s="55"/>
      <c r="K17" s="402" t="s">
        <v>279</v>
      </c>
      <c r="L17" s="403"/>
      <c r="M17" s="403"/>
      <c r="N17" s="403"/>
      <c r="O17" s="403"/>
      <c r="P17" s="409"/>
      <c r="Q17" s="409"/>
      <c r="R17" s="409"/>
      <c r="S17" s="368" t="s">
        <v>252</v>
      </c>
      <c r="T17" s="1"/>
      <c r="U17" s="1"/>
      <c r="V17" s="1"/>
      <c r="W17" s="392" t="s">
        <v>5</v>
      </c>
      <c r="X17" s="393"/>
      <c r="Y17" s="393"/>
      <c r="Z17" s="393"/>
      <c r="AA17" s="393"/>
      <c r="AB17" s="393"/>
      <c r="AC17" s="409"/>
      <c r="AD17" s="409"/>
      <c r="AE17" s="88" t="s">
        <v>117</v>
      </c>
      <c r="AG17" s="392" t="s">
        <v>278</v>
      </c>
      <c r="AH17" s="393"/>
      <c r="AI17" s="393"/>
      <c r="AJ17" s="393"/>
      <c r="AK17" s="393"/>
      <c r="AL17" s="393"/>
      <c r="AM17" s="409"/>
      <c r="AN17" s="409"/>
      <c r="AO17" s="128" t="s">
        <v>117</v>
      </c>
    </row>
    <row r="18" spans="1:41" s="53" customFormat="1" ht="22.5" customHeight="1">
      <c r="A18" s="392" t="s">
        <v>6</v>
      </c>
      <c r="B18" s="392"/>
      <c r="C18" s="392"/>
      <c r="D18" s="392"/>
      <c r="E18" s="392"/>
      <c r="F18" s="409"/>
      <c r="G18" s="409"/>
      <c r="H18" s="409"/>
      <c r="I18" s="368" t="s">
        <v>115</v>
      </c>
      <c r="K18" s="410" t="s">
        <v>300</v>
      </c>
      <c r="L18" s="393"/>
      <c r="M18" s="393"/>
      <c r="N18" s="393"/>
      <c r="O18" s="393"/>
      <c r="P18" s="407"/>
      <c r="Q18" s="408"/>
      <c r="R18" s="408"/>
      <c r="S18" s="369" t="s">
        <v>283</v>
      </c>
      <c r="U18" s="311"/>
      <c r="V18" s="54"/>
      <c r="W18" s="392" t="s">
        <v>206</v>
      </c>
      <c r="X18" s="393"/>
      <c r="Y18" s="393"/>
      <c r="Z18" s="393"/>
      <c r="AA18" s="400" t="s">
        <v>243</v>
      </c>
      <c r="AB18" s="400"/>
      <c r="AC18" s="400"/>
      <c r="AD18" s="400"/>
      <c r="AF18" s="55"/>
      <c r="AG18" s="398" t="s">
        <v>207</v>
      </c>
      <c r="AH18" s="399"/>
      <c r="AI18" s="399"/>
      <c r="AJ18" s="399"/>
      <c r="AK18" s="399"/>
      <c r="AL18" s="400" t="s">
        <v>243</v>
      </c>
      <c r="AM18" s="400"/>
      <c r="AN18" s="400"/>
      <c r="AO18" s="400"/>
    </row>
    <row r="19" spans="1:57" s="53" customFormat="1" ht="22.5" customHeight="1">
      <c r="A19" s="392" t="s">
        <v>77</v>
      </c>
      <c r="B19" s="437"/>
      <c r="C19" s="437"/>
      <c r="D19" s="437"/>
      <c r="E19" s="437"/>
      <c r="F19" s="437"/>
      <c r="G19" s="437"/>
      <c r="H19" s="437"/>
      <c r="I19" s="400" t="s">
        <v>243</v>
      </c>
      <c r="J19" s="405"/>
      <c r="K19" s="405"/>
      <c r="L19" s="405"/>
      <c r="M19" s="55"/>
      <c r="N19" s="55"/>
      <c r="O19" s="55"/>
      <c r="P19" s="55"/>
      <c r="Q19" s="55"/>
      <c r="R19" s="312"/>
      <c r="S19" s="1"/>
      <c r="U19" s="361"/>
      <c r="W19" s="392" t="str">
        <f>IF(I19="YES","HOW OFTEN:","IF YES, HOW OFTEN: ")</f>
        <v>IF YES, HOW OFTEN: </v>
      </c>
      <c r="X19" s="393"/>
      <c r="Y19" s="393"/>
      <c r="Z19" s="393"/>
      <c r="AA19" s="393"/>
      <c r="AB19" s="393"/>
      <c r="AC19" s="393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BB19" s="50"/>
      <c r="BC19" s="50"/>
      <c r="BD19" s="54"/>
      <c r="BE19" s="54"/>
    </row>
    <row r="20" spans="1:47" s="53" customFormat="1" ht="22.5" customHeight="1">
      <c r="A20" s="392" t="s">
        <v>265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400" t="s">
        <v>243</v>
      </c>
      <c r="Q20" s="405"/>
      <c r="R20" s="405"/>
      <c r="S20" s="405"/>
      <c r="U20" s="312"/>
      <c r="W20" s="468" t="str">
        <f>IF(P20="YES","SPECIFY MTR/ER NUMBER:","IF YES, SPECIFY MTR/ER NUMBER:")</f>
        <v>IF YES, SPECIFY MTR/ER NUMBER:</v>
      </c>
      <c r="X20" s="469"/>
      <c r="Y20" s="455"/>
      <c r="Z20" s="455"/>
      <c r="AA20" s="455"/>
      <c r="AB20" s="455"/>
      <c r="AC20" s="455"/>
      <c r="AD20" s="455"/>
      <c r="AE20" s="455"/>
      <c r="AF20" s="455"/>
      <c r="AG20" s="455"/>
      <c r="AH20" s="441"/>
      <c r="AI20" s="442"/>
      <c r="AJ20" s="442"/>
      <c r="AK20" s="400"/>
      <c r="AL20" s="405"/>
      <c r="AM20" s="405"/>
      <c r="AN20" s="405"/>
      <c r="AO20" s="405"/>
      <c r="AS20" s="54"/>
      <c r="AT20" s="54"/>
      <c r="AU20" s="54"/>
    </row>
    <row r="21" spans="1:47" s="53" customFormat="1" ht="16.5" customHeight="1" thickBot="1">
      <c r="A21" s="388">
        <f>IF(N6="",0,IF(OR(R15="",AI15="",E16="",AA16="",AM16="",F17="",P17="",AC17="",AM17="",F18="",P18="",AA18="YES OR NO",AL18="YES OR NO",I19="YES OR NO",P20="YES OR NO",IF(I19="YES",AD19="",F18=""),IF(P20="YES",AH20="",F18="")),1,0))</f>
        <v>0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13"/>
      <c r="Q21" s="313"/>
      <c r="R21" s="313"/>
      <c r="S21" s="314"/>
      <c r="T21" s="314"/>
      <c r="U21" s="314"/>
      <c r="V21" s="315"/>
      <c r="W21" s="315"/>
      <c r="X21" s="315"/>
      <c r="Y21" s="136"/>
      <c r="Z21" s="303"/>
      <c r="AA21" s="303"/>
      <c r="AB21" s="303"/>
      <c r="AC21" s="303"/>
      <c r="AD21" s="303"/>
      <c r="AE21" s="303"/>
      <c r="AF21" s="303"/>
      <c r="AG21" s="316"/>
      <c r="AH21" s="317"/>
      <c r="AI21" s="317"/>
      <c r="AJ21" s="317"/>
      <c r="AK21" s="317"/>
      <c r="AL21" s="317"/>
      <c r="AM21" s="317"/>
      <c r="AN21" s="317"/>
      <c r="AO21" s="317"/>
      <c r="AP21" s="312"/>
      <c r="AQ21" s="312"/>
      <c r="AR21" s="299"/>
      <c r="AS21" s="40"/>
      <c r="AT21" s="40"/>
      <c r="AU21" s="40"/>
    </row>
    <row r="22" spans="1:49" s="53" customFormat="1" ht="9.75" customHeight="1" thickTop="1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18"/>
      <c r="Q22" s="318"/>
      <c r="R22" s="318"/>
      <c r="S22" s="319"/>
      <c r="T22" s="319"/>
      <c r="U22" s="319"/>
      <c r="V22" s="320"/>
      <c r="W22" s="320"/>
      <c r="X22" s="320"/>
      <c r="Y22" s="307"/>
      <c r="Z22" s="306"/>
      <c r="AA22" s="306"/>
      <c r="AB22" s="306"/>
      <c r="AC22" s="306"/>
      <c r="AD22" s="306"/>
      <c r="AE22" s="306"/>
      <c r="AF22" s="306"/>
      <c r="AG22" s="321"/>
      <c r="AH22" s="322"/>
      <c r="AI22" s="322"/>
      <c r="AJ22" s="322"/>
      <c r="AK22" s="322"/>
      <c r="AL22" s="322"/>
      <c r="AM22" s="322"/>
      <c r="AN22" s="322"/>
      <c r="AO22" s="322"/>
      <c r="AP22" s="312"/>
      <c r="AQ22" s="312"/>
      <c r="AR22" s="299"/>
      <c r="AS22" s="49"/>
      <c r="AT22" s="49"/>
      <c r="AU22" s="49"/>
      <c r="AV22" s="54"/>
      <c r="AW22" s="54"/>
    </row>
    <row r="23" spans="1:26" s="53" customFormat="1" ht="22.5" customHeight="1">
      <c r="A23" s="436" t="s">
        <v>8</v>
      </c>
      <c r="B23" s="436"/>
      <c r="C23" s="436"/>
      <c r="D23" s="436"/>
      <c r="E23" s="420"/>
      <c r="F23" s="415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302"/>
      <c r="U23" s="302"/>
      <c r="V23" s="376"/>
      <c r="W23" s="166"/>
      <c r="X23" s="323"/>
      <c r="Y23" s="323"/>
      <c r="Z23" s="172"/>
    </row>
    <row r="24" spans="1:43" s="53" customFormat="1" ht="22.5" customHeight="1">
      <c r="A24" s="418" t="s">
        <v>90</v>
      </c>
      <c r="B24" s="418"/>
      <c r="C24" s="418"/>
      <c r="D24" s="418"/>
      <c r="E24" s="418"/>
      <c r="F24" s="410"/>
      <c r="G24" s="409"/>
      <c r="H24" s="409"/>
      <c r="I24" s="409"/>
      <c r="J24" s="409"/>
      <c r="K24" s="409"/>
      <c r="L24" s="409"/>
      <c r="M24" s="409"/>
      <c r="N24" s="374"/>
      <c r="O24" s="409"/>
      <c r="P24" s="408"/>
      <c r="Q24" s="408"/>
      <c r="R24" s="408"/>
      <c r="S24" s="408"/>
      <c r="T24" s="50"/>
      <c r="U24" s="50"/>
      <c r="W24" s="40" t="s">
        <v>15</v>
      </c>
      <c r="AA24" s="400"/>
      <c r="AB24" s="405"/>
      <c r="AC24" s="405"/>
      <c r="AD24" s="398" t="s">
        <v>16</v>
      </c>
      <c r="AE24" s="421"/>
      <c r="AF24" s="421"/>
      <c r="AG24" s="404"/>
      <c r="AH24" s="405"/>
      <c r="AI24" s="405"/>
      <c r="AK24" s="432" t="s">
        <v>25</v>
      </c>
      <c r="AL24" s="467"/>
      <c r="AM24" s="467"/>
      <c r="AN24" s="422">
        <f>IF(G23="","",IF(G23="ELECTRO-MAGNETIC","1","3"))</f>
      </c>
      <c r="AO24" s="466"/>
      <c r="AP24" s="1"/>
      <c r="AQ24" s="1"/>
    </row>
    <row r="25" spans="1:48" s="53" customFormat="1" ht="21.75" customHeight="1">
      <c r="A25" s="392" t="s">
        <v>88</v>
      </c>
      <c r="B25" s="414"/>
      <c r="C25" s="414"/>
      <c r="D25" s="414"/>
      <c r="E25" s="414"/>
      <c r="F25" s="414"/>
      <c r="G25" s="414"/>
      <c r="H25" s="415"/>
      <c r="I25" s="413"/>
      <c r="J25" s="409"/>
      <c r="K25" s="409"/>
      <c r="L25" s="409"/>
      <c r="M25" s="409"/>
      <c r="P25" s="1" t="s">
        <v>209</v>
      </c>
      <c r="Q25" s="416" t="str">
        <f>IF(ISERROR(IF(IF(G23="MECHNICAL:",IF(OR(AG24=50,AG24=60),'AMP TABLES'!F5,'AMP TABLES'!F6),IF(OR(AG24=50,AG24=60),'AMP TABLES'!F3,'AMP TABLES'!F4))=0,"N/A",IF(G23="MECHANICAL",IF(OR(AG24=50,AG24=60),'AMP TABLES'!F5,'AMP TABLES'!F6),IF(OR(AG24=50,AG24=60),'AMP TABLES'!F3,'AMP TABLES'!F4))*I25)),"N/A",IF(IF(G23="MECHNICAL:",IF(OR(AG24=50,AG24=60),'AMP TABLES'!F5,'AMP TABLES'!F6),IF(OR(AG24=50,AG24=60),'AMP TABLES'!F3,'AMP TABLES'!F4))=0,"N/A",IF(G23="MECHANICAL",IF(OR(AG24=50,AG24=60),'AMP TABLES'!F5,'AMP TABLES'!F6),IF(OR(AG24=50,AG24=60),'AMP TABLES'!F3,'AMP TABLES'!F4))*I25))</f>
        <v>N/A</v>
      </c>
      <c r="R25" s="417"/>
      <c r="S25" s="417"/>
      <c r="W25" s="53" t="s">
        <v>210</v>
      </c>
      <c r="X25" s="300"/>
      <c r="Y25" s="300"/>
      <c r="Z25" s="300"/>
      <c r="AG25" s="302"/>
      <c r="AH25" s="302"/>
      <c r="AI25" s="302"/>
      <c r="AJ25" s="400" t="s">
        <v>243</v>
      </c>
      <c r="AK25" s="400"/>
      <c r="AL25" s="400"/>
      <c r="AM25" s="400"/>
      <c r="AN25" s="344"/>
      <c r="AO25" s="302"/>
      <c r="AS25" s="54"/>
      <c r="AT25" s="54"/>
      <c r="AU25" s="54"/>
      <c r="AV25" s="54"/>
    </row>
    <row r="26" spans="1:36" s="53" customFormat="1" ht="21.75" customHeight="1">
      <c r="A26" s="392" t="s">
        <v>91</v>
      </c>
      <c r="B26" s="420"/>
      <c r="C26" s="420"/>
      <c r="D26" s="420"/>
      <c r="E26" s="420"/>
      <c r="F26" s="420"/>
      <c r="G26" s="420"/>
      <c r="H26" s="400"/>
      <c r="I26" s="405"/>
      <c r="J26" s="405"/>
      <c r="K26" s="405"/>
      <c r="L26" s="405"/>
      <c r="M26" s="405"/>
      <c r="N26" s="54"/>
      <c r="W26" s="392" t="s">
        <v>89</v>
      </c>
      <c r="X26" s="392"/>
      <c r="Y26" s="392"/>
      <c r="Z26" s="392"/>
      <c r="AA26" s="392"/>
      <c r="AB26" s="420"/>
      <c r="AC26" s="400"/>
      <c r="AD26" s="405"/>
      <c r="AE26" s="405"/>
      <c r="AF26" s="405"/>
      <c r="AG26" s="405"/>
      <c r="AH26" s="405"/>
      <c r="AI26" s="405"/>
      <c r="AJ26" s="405"/>
    </row>
    <row r="27" spans="1:32" s="53" customFormat="1" ht="22.5" customHeight="1">
      <c r="A27" s="392" t="s">
        <v>153</v>
      </c>
      <c r="B27" s="392"/>
      <c r="C27" s="410"/>
      <c r="D27" s="420"/>
      <c r="E27" s="400"/>
      <c r="F27" s="405"/>
      <c r="G27" s="405"/>
      <c r="H27" s="405"/>
      <c r="I27" s="405"/>
      <c r="J27" s="405"/>
      <c r="K27" s="405"/>
      <c r="L27" s="405"/>
      <c r="M27" s="405"/>
      <c r="N27" s="54"/>
      <c r="U27" s="324"/>
      <c r="W27" s="49" t="s">
        <v>80</v>
      </c>
      <c r="X27" s="49"/>
      <c r="Y27" s="49"/>
      <c r="Z27" s="49"/>
      <c r="AA27" s="49"/>
      <c r="AB27" s="400"/>
      <c r="AC27" s="400"/>
      <c r="AD27" s="53" t="s">
        <v>87</v>
      </c>
      <c r="AF27" s="55"/>
    </row>
    <row r="28" spans="1:41" s="53" customFormat="1" ht="22.5" customHeight="1">
      <c r="A28" s="406" t="s">
        <v>9</v>
      </c>
      <c r="B28" s="410"/>
      <c r="C28" s="410"/>
      <c r="D28" s="301"/>
      <c r="E28" s="404"/>
      <c r="F28" s="404"/>
      <c r="G28" s="404"/>
      <c r="H28" s="404"/>
      <c r="I28" s="400"/>
      <c r="J28" s="400"/>
      <c r="K28" s="302"/>
      <c r="L28" s="302"/>
      <c r="M28" s="302"/>
      <c r="N28" s="54"/>
      <c r="U28" s="324"/>
      <c r="W28" s="418" t="str">
        <f>IF(OR(D28="",D28="OTHER"),"SPECIFY PAINT:","")</f>
        <v>SPECIFY PAINT:</v>
      </c>
      <c r="X28" s="393"/>
      <c r="Y28" s="393"/>
      <c r="Z28" s="393"/>
      <c r="AA28" s="393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</row>
    <row r="29" spans="1:41" s="53" customFormat="1" ht="16.5" customHeight="1" thickBot="1">
      <c r="A29" s="389">
        <f>IF(N6="",0,IF(OR(G23="",G24="",IF(G24="VMC",G23="",O24=""),AA24="",AG24="",I25="",AJ25="YES OR NO",H26="",AC26="",E27="",AB27="",E28="",IF(E28="OTHER",AB28="",G23="")),1,0))</f>
        <v>0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</row>
    <row r="30" spans="1:48" s="53" customFormat="1" ht="9.75" customHeight="1" thickTop="1">
      <c r="A30" s="49"/>
      <c r="B30" s="49"/>
      <c r="C30" s="54"/>
      <c r="D30" s="302"/>
      <c r="E30" s="55"/>
      <c r="F30" s="302"/>
      <c r="G30" s="302"/>
      <c r="H30" s="302"/>
      <c r="I30" s="302"/>
      <c r="J30" s="302"/>
      <c r="K30" s="302"/>
      <c r="L30" s="302"/>
      <c r="M30" s="302"/>
      <c r="N30" s="54"/>
      <c r="O30" s="54"/>
      <c r="R30" s="54"/>
      <c r="S30" s="54"/>
      <c r="T30" s="54"/>
      <c r="U30" s="324"/>
      <c r="V30" s="54"/>
      <c r="W30" s="49"/>
      <c r="X30" s="49"/>
      <c r="Y30" s="49"/>
      <c r="Z30" s="49"/>
      <c r="AA30" s="49"/>
      <c r="AB30" s="54"/>
      <c r="AC30" s="55"/>
      <c r="AD30" s="55"/>
      <c r="AE30" s="54"/>
      <c r="AF30" s="55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U30" s="54"/>
      <c r="AV30" s="54"/>
    </row>
    <row r="31" spans="1:41" s="53" customFormat="1" ht="21.75" customHeight="1">
      <c r="A31" s="325" t="s">
        <v>79</v>
      </c>
      <c r="C31" s="326" t="s">
        <v>258</v>
      </c>
      <c r="D31" s="400"/>
      <c r="E31" s="411"/>
      <c r="F31" s="411"/>
      <c r="G31" s="347" t="s">
        <v>115</v>
      </c>
      <c r="I31" s="326" t="s">
        <v>259</v>
      </c>
      <c r="J31" s="400"/>
      <c r="K31" s="400"/>
      <c r="L31" s="400"/>
      <c r="M31" s="88" t="s">
        <v>115</v>
      </c>
      <c r="N31" s="50"/>
      <c r="O31" s="326" t="s">
        <v>260</v>
      </c>
      <c r="P31" s="400"/>
      <c r="Q31" s="400"/>
      <c r="R31" s="400"/>
      <c r="S31" s="88" t="s">
        <v>115</v>
      </c>
      <c r="T31" s="55"/>
      <c r="U31" s="55"/>
      <c r="W31" s="392" t="s">
        <v>60</v>
      </c>
      <c r="X31" s="420"/>
      <c r="Y31" s="420"/>
      <c r="Z31" s="420"/>
      <c r="AA31" s="420"/>
      <c r="AB31" s="400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</row>
    <row r="32" spans="1:41" s="53" customFormat="1" ht="21" customHeight="1">
      <c r="A32" s="410" t="s">
        <v>282</v>
      </c>
      <c r="B32" s="410"/>
      <c r="C32" s="410"/>
      <c r="D32" s="410"/>
      <c r="E32" s="410"/>
      <c r="F32" s="410"/>
      <c r="G32" s="447" t="e">
        <f>P17*4800/(D31*(P18*IF(OR(AB27="",AB27=0),1,(1+(AB27^3/33+4)/100))*F17))</f>
        <v>#DIV/0!</v>
      </c>
      <c r="H32" s="447"/>
      <c r="I32" s="128" t="s">
        <v>115</v>
      </c>
      <c r="K32" s="419" t="e">
        <f>IF(G32&gt;P31,"BURDEN DEPTH CANNOT BE GREATER THAN TRAY DEPTH","")</f>
        <v>#DIV/0!</v>
      </c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</row>
    <row r="33" spans="1:41" s="53" customFormat="1" ht="21.75" customHeight="1">
      <c r="A33" s="392" t="s">
        <v>281</v>
      </c>
      <c r="B33" s="392"/>
      <c r="C33" s="49"/>
      <c r="D33" s="400"/>
      <c r="E33" s="405"/>
      <c r="F33" s="405"/>
      <c r="G33" s="405"/>
      <c r="H33" s="405"/>
      <c r="I33" s="405"/>
      <c r="J33" s="452">
        <f>IF(D33="PLEASE CHOOSE ONE","",IF(D33="ROUND","ENTER DIA.",IF(D33="RECTANGULAR","ENTER L X W",IF(D33="SQUARE","ENTER SIZE",""))))</f>
      </c>
      <c r="K33" s="399"/>
      <c r="L33" s="399"/>
      <c r="M33" s="399"/>
      <c r="N33" s="399"/>
      <c r="O33" s="412"/>
      <c r="P33" s="412"/>
      <c r="Q33" s="379" t="s">
        <v>280</v>
      </c>
      <c r="R33" s="412"/>
      <c r="S33" s="412"/>
      <c r="T33" s="54"/>
      <c r="U33" s="54"/>
      <c r="W33" s="392" t="s">
        <v>272</v>
      </c>
      <c r="X33" s="393"/>
      <c r="Y33" s="393"/>
      <c r="Z33" s="400"/>
      <c r="AA33" s="424"/>
      <c r="AB33" s="424"/>
      <c r="AC33" s="424"/>
      <c r="AD33" s="424"/>
      <c r="AE33" s="424"/>
      <c r="AF33" s="432">
        <f>IF(Z33="PLEASE CHOOSE ONE","",IF(Z33="ROUND","ENTER DIA.",IF(Z33="RECTANGULAR","ENTER L X W",IF(Z33="SQUARE","ENTER SIZE",(IF(OR(Z33="LH BIAS",Z33="RH BIAS"),"BIAS LENGTH",IF(OR(Z33="OFF END",Z33="LEFT HAND",Z33="RIGHT HAND"),"WIDTH OF TRAY","")))))))</f>
      </c>
      <c r="AG33" s="432"/>
      <c r="AH33" s="432"/>
      <c r="AI33" s="432"/>
      <c r="AJ33" s="432"/>
      <c r="AK33" s="412"/>
      <c r="AL33" s="412"/>
      <c r="AM33" s="379" t="s">
        <v>280</v>
      </c>
      <c r="AN33" s="412"/>
      <c r="AO33" s="412"/>
    </row>
    <row r="34" spans="1:41" s="53" customFormat="1" ht="21.75" customHeight="1">
      <c r="A34" s="418" t="s">
        <v>62</v>
      </c>
      <c r="B34" s="449"/>
      <c r="C34" s="449"/>
      <c r="D34" s="449"/>
      <c r="E34" s="449"/>
      <c r="F34" s="449"/>
      <c r="G34" s="400"/>
      <c r="H34" s="400"/>
      <c r="I34" s="400"/>
      <c r="J34" s="400"/>
      <c r="K34" s="400"/>
      <c r="L34" s="400"/>
      <c r="M34" s="405"/>
      <c r="N34" s="405"/>
      <c r="O34" s="54"/>
      <c r="S34" s="300"/>
      <c r="T34" s="300"/>
      <c r="U34" s="300"/>
      <c r="V34" s="300"/>
      <c r="W34" s="418" t="str">
        <f>IF(OR(G34="",G34="OTHER"),"SPECIFY MATERIAL:","")</f>
        <v>SPECIFY MATERIAL:</v>
      </c>
      <c r="X34" s="393"/>
      <c r="Y34" s="393"/>
      <c r="Z34" s="393"/>
      <c r="AA34" s="393"/>
      <c r="AB34" s="393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</row>
    <row r="35" spans="1:41" s="53" customFormat="1" ht="21.75" customHeight="1">
      <c r="A35" s="40"/>
      <c r="B35" s="309"/>
      <c r="C35" s="309"/>
      <c r="D35" s="309"/>
      <c r="E35" s="436" t="s">
        <v>239</v>
      </c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380"/>
      <c r="AN35" s="380"/>
      <c r="AO35" s="380"/>
    </row>
    <row r="36" spans="1:37" s="53" customFormat="1" ht="22.5" customHeight="1">
      <c r="A36" s="308" t="s">
        <v>19</v>
      </c>
      <c r="B36" s="308"/>
      <c r="C36" s="308"/>
      <c r="D36" s="308"/>
      <c r="AF36" s="343"/>
      <c r="AG36" s="343"/>
      <c r="AH36" s="343"/>
      <c r="AI36" s="343"/>
      <c r="AJ36" s="343"/>
      <c r="AK36" s="327"/>
    </row>
    <row r="37" spans="1:41" s="53" customFormat="1" ht="21.75" customHeight="1">
      <c r="A37" s="418" t="s">
        <v>26</v>
      </c>
      <c r="B37" s="418"/>
      <c r="C37" s="418"/>
      <c r="D37" s="418"/>
      <c r="E37" s="418"/>
      <c r="F37" s="418"/>
      <c r="G37" s="400"/>
      <c r="H37" s="405"/>
      <c r="I37" s="405"/>
      <c r="J37" s="405"/>
      <c r="K37" s="405"/>
      <c r="L37" s="405"/>
      <c r="M37" s="405"/>
      <c r="N37" s="419">
        <f>IF(G37="SANITARY 1","1/4 RAD. CONT.",IF(G37="SANITARY 2","CONT.",""))</f>
      </c>
      <c r="O37" s="420"/>
      <c r="P37" s="420"/>
      <c r="Q37" s="420"/>
      <c r="R37" s="420"/>
      <c r="S37" s="415"/>
      <c r="W37" s="418" t="s">
        <v>27</v>
      </c>
      <c r="X37" s="410"/>
      <c r="Y37" s="410"/>
      <c r="Z37" s="410"/>
      <c r="AA37" s="410"/>
      <c r="AB37" s="410"/>
      <c r="AC37" s="410"/>
      <c r="AD37" s="415"/>
      <c r="AE37" s="470"/>
      <c r="AF37" s="470"/>
      <c r="AG37" s="470"/>
      <c r="AH37" s="470"/>
      <c r="AI37" s="470"/>
      <c r="AJ37" s="470"/>
      <c r="AK37" s="471">
        <f>IF(AE37="SANITARY 1","1/4 RAD. CONT.",IF(AE37="SANITARY 2","CONT.",""))</f>
      </c>
      <c r="AL37" s="414"/>
      <c r="AM37" s="414"/>
      <c r="AN37" s="414"/>
      <c r="AO37" s="414"/>
    </row>
    <row r="38" spans="1:41" s="53" customFormat="1" ht="21.75" customHeight="1">
      <c r="A38" s="392" t="s">
        <v>247</v>
      </c>
      <c r="B38" s="437"/>
      <c r="C38" s="437"/>
      <c r="D38" s="437"/>
      <c r="E38" s="437"/>
      <c r="F38" s="4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302"/>
      <c r="U38" s="302"/>
      <c r="W38" s="392" t="s">
        <v>248</v>
      </c>
      <c r="X38" s="414"/>
      <c r="Y38" s="414"/>
      <c r="Z38" s="414"/>
      <c r="AA38" s="393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</row>
    <row r="39" spans="15:44" s="54" customFormat="1" ht="9" customHeight="1">
      <c r="O39" s="329"/>
      <c r="P39" s="329"/>
      <c r="T39" s="302"/>
      <c r="U39" s="302"/>
      <c r="V39" s="302"/>
      <c r="AP39" s="302"/>
      <c r="AQ39" s="302"/>
      <c r="AR39" s="101"/>
    </row>
    <row r="40" spans="1:21" s="54" customFormat="1" ht="21" customHeight="1">
      <c r="A40" s="325" t="s">
        <v>20</v>
      </c>
      <c r="T40" s="302"/>
      <c r="U40" s="302"/>
    </row>
    <row r="41" spans="1:44" s="54" customFormat="1" ht="21" customHeight="1">
      <c r="A41" s="392" t="s">
        <v>26</v>
      </c>
      <c r="B41" s="415"/>
      <c r="C41" s="415"/>
      <c r="D41" s="415"/>
      <c r="E41" s="415"/>
      <c r="F41" s="415"/>
      <c r="G41" s="400"/>
      <c r="H41" s="400"/>
      <c r="I41" s="400"/>
      <c r="J41" s="400"/>
      <c r="K41" s="400"/>
      <c r="L41" s="400"/>
      <c r="M41" s="400"/>
      <c r="N41" s="405"/>
      <c r="O41" s="302"/>
      <c r="P41" s="302"/>
      <c r="Q41" s="302"/>
      <c r="R41" s="302"/>
      <c r="S41" s="302"/>
      <c r="T41" s="302"/>
      <c r="U41" s="302"/>
      <c r="V41" s="302"/>
      <c r="W41" s="418" t="s">
        <v>27</v>
      </c>
      <c r="X41" s="415"/>
      <c r="Y41" s="415"/>
      <c r="Z41" s="415"/>
      <c r="AA41" s="415"/>
      <c r="AB41" s="415"/>
      <c r="AC41" s="415"/>
      <c r="AD41" s="415"/>
      <c r="AE41" s="400"/>
      <c r="AF41" s="400"/>
      <c r="AG41" s="400"/>
      <c r="AH41" s="400"/>
      <c r="AI41" s="400"/>
      <c r="AJ41" s="405"/>
      <c r="AK41" s="405"/>
      <c r="AL41" s="302"/>
      <c r="AM41" s="302"/>
      <c r="AN41" s="302"/>
      <c r="AO41" s="302"/>
      <c r="AP41" s="302"/>
      <c r="AQ41" s="302"/>
      <c r="AR41" s="101"/>
    </row>
    <row r="42" spans="1:41" s="53" customFormat="1" ht="21.75" customHeight="1">
      <c r="A42" s="392" t="s">
        <v>249</v>
      </c>
      <c r="B42" s="437"/>
      <c r="C42" s="437"/>
      <c r="D42" s="437"/>
      <c r="E42" s="437"/>
      <c r="F42" s="393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302"/>
      <c r="U42" s="302"/>
      <c r="W42" s="410" t="s">
        <v>249</v>
      </c>
      <c r="X42" s="420"/>
      <c r="Y42" s="420"/>
      <c r="Z42" s="420"/>
      <c r="AA42" s="393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</row>
    <row r="43" spans="2:43" s="53" customFormat="1" ht="21" customHeight="1">
      <c r="B43" s="49"/>
      <c r="C43" s="452" t="s">
        <v>9</v>
      </c>
      <c r="D43" s="423"/>
      <c r="E43" s="423"/>
      <c r="F43" s="49"/>
      <c r="G43" s="404"/>
      <c r="H43" s="404"/>
      <c r="I43" s="404"/>
      <c r="J43" s="404"/>
      <c r="K43" s="400"/>
      <c r="L43" s="400"/>
      <c r="O43" s="50"/>
      <c r="P43" s="50"/>
      <c r="Q43" s="50"/>
      <c r="R43" s="50"/>
      <c r="W43" s="423" t="s">
        <v>9</v>
      </c>
      <c r="X43" s="399"/>
      <c r="Y43" s="399"/>
      <c r="Z43" s="399"/>
      <c r="AA43" s="399"/>
      <c r="AB43" s="400"/>
      <c r="AC43" s="400"/>
      <c r="AD43" s="400"/>
      <c r="AE43" s="400"/>
      <c r="AF43" s="400"/>
      <c r="AG43" s="400"/>
      <c r="AH43" s="54"/>
      <c r="AI43" s="54"/>
      <c r="AJ43" s="54"/>
      <c r="AK43" s="54"/>
      <c r="AL43" s="54"/>
      <c r="AM43" s="54"/>
      <c r="AN43" s="54"/>
      <c r="AO43" s="54"/>
      <c r="AP43" s="330"/>
      <c r="AQ43" s="330"/>
    </row>
    <row r="44" spans="1:43" s="53" customFormat="1" ht="16.5" customHeight="1" thickBot="1">
      <c r="A44" s="388">
        <f>IF(N6="",0,IF(OR(D31="",J31="",P31="",AB31="",D33="",Z33="",G34="",IF(G34="OTHER",AC34="",D31=""),G37="",AE37="",IF(G37="OTHER",G38="",D31=""),IF(AE37="OTHER",AB38="",D31=""),G41="",AE41="",IF(G41="OTHER",G42="",D31=""),IF(G41="PAINT",G43="",D31=""),IF(AE41="OTHER",AB42="",D31=""),IF(AE41="PAINT",AB43="",D31="")),1,0))</f>
        <v>0</v>
      </c>
      <c r="B44" s="331"/>
      <c r="C44" s="331"/>
      <c r="D44" s="331"/>
      <c r="E44" s="332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31"/>
      <c r="AN44" s="331"/>
      <c r="AO44" s="331"/>
      <c r="AP44" s="308"/>
      <c r="AQ44" s="308"/>
    </row>
    <row r="45" spans="1:43" s="53" customFormat="1" ht="9.75" customHeight="1" thickTop="1">
      <c r="A45" s="54"/>
      <c r="B45" s="333"/>
      <c r="C45" s="333"/>
      <c r="D45" s="333"/>
      <c r="E45" s="46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33"/>
      <c r="AN45" s="333"/>
      <c r="AO45" s="333"/>
      <c r="AP45" s="308"/>
      <c r="AQ45" s="308"/>
    </row>
    <row r="46" spans="1:43" s="53" customFormat="1" ht="21.75" customHeight="1">
      <c r="A46" s="308" t="s">
        <v>185</v>
      </c>
      <c r="B46" s="308"/>
      <c r="C46" s="308"/>
      <c r="D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</row>
    <row r="47" spans="1:24" s="53" customFormat="1" ht="22.5" customHeight="1">
      <c r="A47" s="453" t="s">
        <v>28</v>
      </c>
      <c r="B47" s="393"/>
      <c r="C47" s="393"/>
      <c r="D47" s="393"/>
      <c r="E47" s="393"/>
      <c r="F47" s="393"/>
      <c r="G47" s="393"/>
      <c r="H47" s="393"/>
      <c r="I47" s="393"/>
      <c r="J47" s="393"/>
      <c r="K47" s="400" t="s">
        <v>243</v>
      </c>
      <c r="L47" s="400"/>
      <c r="M47" s="400"/>
      <c r="N47" s="400"/>
      <c r="O47" s="345"/>
      <c r="P47" s="334"/>
      <c r="Q47" s="334"/>
      <c r="R47" s="334"/>
      <c r="S47" s="54"/>
      <c r="T47" s="54"/>
      <c r="U47" s="54"/>
      <c r="V47" s="1"/>
      <c r="W47" s="1"/>
      <c r="X47" s="1"/>
    </row>
    <row r="48" spans="1:43" s="53" customFormat="1" ht="22.5" customHeight="1">
      <c r="A48" s="49" t="s">
        <v>26</v>
      </c>
      <c r="B48" s="49"/>
      <c r="C48" s="49"/>
      <c r="D48" s="49"/>
      <c r="E48" s="49"/>
      <c r="F48" s="49"/>
      <c r="G48" s="400"/>
      <c r="H48" s="405"/>
      <c r="I48" s="405"/>
      <c r="J48" s="405"/>
      <c r="K48" s="405"/>
      <c r="L48" s="405"/>
      <c r="M48" s="405"/>
      <c r="N48" s="405"/>
      <c r="O48" s="54"/>
      <c r="P48" s="54"/>
      <c r="Q48" s="54"/>
      <c r="R48" s="54"/>
      <c r="S48" s="54"/>
      <c r="T48" s="54"/>
      <c r="U48" s="54"/>
      <c r="V48" s="54"/>
      <c r="W48" s="392" t="s">
        <v>27</v>
      </c>
      <c r="X48" s="393"/>
      <c r="Y48" s="393"/>
      <c r="Z48" s="393"/>
      <c r="AA48" s="393"/>
      <c r="AB48" s="393"/>
      <c r="AC48" s="393"/>
      <c r="AD48" s="400"/>
      <c r="AE48" s="400"/>
      <c r="AF48" s="400"/>
      <c r="AG48" s="400"/>
      <c r="AH48" s="405"/>
      <c r="AI48" s="405"/>
      <c r="AJ48" s="405"/>
      <c r="AK48" s="405"/>
      <c r="AM48" s="54"/>
      <c r="AN48" s="54"/>
      <c r="AO48" s="54"/>
      <c r="AP48" s="54"/>
      <c r="AQ48" s="54"/>
    </row>
    <row r="49" spans="1:41" s="54" customFormat="1" ht="21" customHeight="1">
      <c r="A49" s="392" t="s">
        <v>250</v>
      </c>
      <c r="B49" s="437"/>
      <c r="C49" s="437"/>
      <c r="D49" s="437"/>
      <c r="E49" s="437"/>
      <c r="F49" s="437"/>
      <c r="G49" s="400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55"/>
      <c r="U49" s="55"/>
      <c r="W49" s="398" t="s">
        <v>251</v>
      </c>
      <c r="X49" s="393"/>
      <c r="Y49" s="393"/>
      <c r="Z49" s="393"/>
      <c r="AA49" s="393"/>
      <c r="AB49" s="393"/>
      <c r="AC49" s="393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</row>
    <row r="50" spans="1:41" s="54" customFormat="1" ht="9.75" customHeight="1">
      <c r="A50" s="49"/>
      <c r="B50" s="49"/>
      <c r="C50" s="49"/>
      <c r="D50" s="49"/>
      <c r="E50" s="49"/>
      <c r="F50" s="49"/>
      <c r="G50" s="55"/>
      <c r="H50" s="302"/>
      <c r="S50" s="302"/>
      <c r="T50" s="55"/>
      <c r="U50" s="55"/>
      <c r="Z50" s="1"/>
      <c r="AA50" s="299"/>
      <c r="AB50" s="299"/>
      <c r="AC50" s="299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</row>
    <row r="51" spans="1:7" s="53" customFormat="1" ht="22.5" customHeight="1">
      <c r="A51" s="451" t="s">
        <v>240</v>
      </c>
      <c r="B51" s="393"/>
      <c r="C51" s="393"/>
      <c r="D51" s="400" t="s">
        <v>243</v>
      </c>
      <c r="E51" s="400"/>
      <c r="F51" s="400"/>
      <c r="G51" s="400"/>
    </row>
    <row r="52" spans="1:31" s="53" customFormat="1" ht="21.75" customHeight="1">
      <c r="A52" s="46"/>
      <c r="B52" s="376"/>
      <c r="C52" s="450" t="s">
        <v>241</v>
      </c>
      <c r="D52" s="393"/>
      <c r="E52" s="393"/>
      <c r="F52" s="393"/>
      <c r="G52" s="393"/>
      <c r="H52" s="393"/>
      <c r="I52" s="400"/>
      <c r="J52" s="400"/>
      <c r="K52" s="405"/>
      <c r="L52" s="405"/>
      <c r="M52" s="405"/>
      <c r="N52" s="405"/>
      <c r="O52" s="405"/>
      <c r="W52" s="426" t="s">
        <v>178</v>
      </c>
      <c r="X52" s="426"/>
      <c r="Y52" s="426"/>
      <c r="Z52" s="426"/>
      <c r="AA52" s="415"/>
      <c r="AB52" s="459"/>
      <c r="AC52" s="460"/>
      <c r="AD52" s="460"/>
      <c r="AE52" s="53" t="s">
        <v>115</v>
      </c>
    </row>
    <row r="53" spans="2:44" s="53" customFormat="1" ht="22.5" customHeight="1">
      <c r="B53" s="46"/>
      <c r="D53" s="398" t="s">
        <v>179</v>
      </c>
      <c r="E53" s="421"/>
      <c r="F53" s="421"/>
      <c r="G53" s="421"/>
      <c r="H53" s="421"/>
      <c r="I53" s="400"/>
      <c r="J53" s="409"/>
      <c r="K53" s="409"/>
      <c r="L53" s="409"/>
      <c r="M53" s="409"/>
      <c r="N53" s="408"/>
      <c r="O53" s="408"/>
      <c r="W53" s="392" t="s">
        <v>178</v>
      </c>
      <c r="X53" s="392"/>
      <c r="Y53" s="392"/>
      <c r="Z53" s="392"/>
      <c r="AA53" s="415"/>
      <c r="AB53" s="459"/>
      <c r="AC53" s="460"/>
      <c r="AD53" s="460"/>
      <c r="AE53" s="53" t="s">
        <v>115</v>
      </c>
      <c r="AJ53" s="55"/>
      <c r="AK53" s="55"/>
      <c r="AL53" s="55"/>
      <c r="AM53" s="55"/>
      <c r="AN53" s="55"/>
      <c r="AO53" s="50"/>
      <c r="AP53" s="50"/>
      <c r="AQ53" s="50"/>
      <c r="AR53" s="335"/>
    </row>
    <row r="54" spans="1:44" s="53" customFormat="1" ht="16.5" customHeight="1" thickBot="1">
      <c r="A54" s="388">
        <f>IF(N6="",0,IF(K47="YES OR NO",1,IF(K47="YES",1,0)))</f>
        <v>0</v>
      </c>
      <c r="B54" s="388">
        <f>IF(A54=0,0,IF(OR(G48="",AD48="",IF(G48="OTHER",G49="",K47=""),IF(AD48="OTHER",AD49="",K47="")),1,0))</f>
        <v>0</v>
      </c>
      <c r="C54" s="388">
        <f>IF(N6="",0,IF(D51="YES",1,IF(D51="NO",0,1)))</f>
        <v>0</v>
      </c>
      <c r="D54" s="388">
        <f>IF(C54=1,IF(OR(I52="",I53="",IF(NOT(I52="N/A"),AB52="",K47=""),IF(NOT(I53="N/A"),AB53="",K47="")),1,0),0)</f>
        <v>0</v>
      </c>
      <c r="E54" s="390">
        <f>IF(B54+D54=0,0,1)</f>
        <v>0</v>
      </c>
      <c r="F54" s="136"/>
      <c r="G54" s="136"/>
      <c r="H54" s="304"/>
      <c r="I54" s="136"/>
      <c r="J54" s="136"/>
      <c r="K54" s="136"/>
      <c r="L54" s="136"/>
      <c r="M54" s="136"/>
      <c r="N54" s="136"/>
      <c r="O54" s="136"/>
      <c r="P54" s="305"/>
      <c r="Q54" s="305"/>
      <c r="R54" s="305"/>
      <c r="S54" s="136"/>
      <c r="T54" s="136"/>
      <c r="U54" s="136"/>
      <c r="V54" s="136"/>
      <c r="W54" s="136"/>
      <c r="X54" s="136"/>
      <c r="Y54" s="336"/>
      <c r="Z54" s="303"/>
      <c r="AA54" s="303"/>
      <c r="AB54" s="303"/>
      <c r="AC54" s="303"/>
      <c r="AD54" s="303"/>
      <c r="AE54" s="304"/>
      <c r="AF54" s="304"/>
      <c r="AG54" s="304"/>
      <c r="AH54" s="305"/>
      <c r="AI54" s="305"/>
      <c r="AJ54" s="305"/>
      <c r="AK54" s="305"/>
      <c r="AL54" s="305"/>
      <c r="AM54" s="305"/>
      <c r="AN54" s="305"/>
      <c r="AO54" s="304"/>
      <c r="AP54" s="50"/>
      <c r="AQ54" s="50"/>
      <c r="AR54" s="335"/>
    </row>
    <row r="55" spans="20:44" s="53" customFormat="1" ht="9.75" customHeight="1" thickTop="1">
      <c r="T55" s="54"/>
      <c r="U55" s="54"/>
      <c r="Y55" s="337"/>
      <c r="Z55" s="49"/>
      <c r="AA55" s="49"/>
      <c r="AB55" s="49"/>
      <c r="AC55" s="49"/>
      <c r="AD55" s="49"/>
      <c r="AE55" s="50"/>
      <c r="AF55" s="50"/>
      <c r="AG55" s="50"/>
      <c r="AH55" s="55"/>
      <c r="AI55" s="55"/>
      <c r="AJ55" s="55"/>
      <c r="AK55" s="55"/>
      <c r="AL55" s="55"/>
      <c r="AM55" s="55"/>
      <c r="AN55" s="55"/>
      <c r="AO55" s="50"/>
      <c r="AP55" s="50"/>
      <c r="AQ55" s="50"/>
      <c r="AR55" s="335"/>
    </row>
    <row r="56" spans="1:44" s="53" customFormat="1" ht="12" customHeight="1" hidden="1">
      <c r="A56" s="46"/>
      <c r="B56" s="46"/>
      <c r="H56" s="330"/>
      <c r="P56" s="55"/>
      <c r="Q56" s="55"/>
      <c r="R56" s="55"/>
      <c r="S56" s="54"/>
      <c r="T56" s="54"/>
      <c r="U56" s="54"/>
      <c r="Y56" s="337"/>
      <c r="Z56" s="49"/>
      <c r="AA56" s="49"/>
      <c r="AB56" s="49"/>
      <c r="AC56" s="49"/>
      <c r="AD56" s="49"/>
      <c r="AE56" s="50"/>
      <c r="AF56" s="50"/>
      <c r="AG56" s="50"/>
      <c r="AH56" s="55"/>
      <c r="AI56" s="55"/>
      <c r="AJ56" s="55"/>
      <c r="AK56" s="55"/>
      <c r="AL56" s="55"/>
      <c r="AM56" s="55"/>
      <c r="AN56" s="55"/>
      <c r="AO56" s="50"/>
      <c r="AP56" s="50"/>
      <c r="AQ56" s="50"/>
      <c r="AR56" s="335"/>
    </row>
    <row r="57" spans="1:12" s="53" customFormat="1" ht="22.5" customHeight="1">
      <c r="A57" s="428" t="s">
        <v>244</v>
      </c>
      <c r="B57" s="428"/>
      <c r="C57" s="428"/>
      <c r="D57" s="325"/>
      <c r="E57" s="325"/>
      <c r="F57" s="400" t="s">
        <v>243</v>
      </c>
      <c r="G57" s="400"/>
      <c r="H57" s="400"/>
      <c r="I57" s="400"/>
      <c r="J57" s="301"/>
      <c r="K57" s="301"/>
      <c r="L57" s="325"/>
    </row>
    <row r="58" spans="1:42" s="53" customFormat="1" ht="22.5" customHeight="1">
      <c r="A58" s="418" t="s">
        <v>11</v>
      </c>
      <c r="B58" s="418"/>
      <c r="C58" s="418"/>
      <c r="D58" s="418"/>
      <c r="E58" s="418"/>
      <c r="F58" s="400" t="s">
        <v>243</v>
      </c>
      <c r="G58" s="400"/>
      <c r="H58" s="400"/>
      <c r="I58" s="400"/>
      <c r="T58" s="310"/>
      <c r="U58" s="310"/>
      <c r="W58" s="49" t="s">
        <v>12</v>
      </c>
      <c r="X58" s="55"/>
      <c r="Z58" s="400"/>
      <c r="AA58" s="405"/>
      <c r="AB58" s="405"/>
      <c r="AC58" s="392" t="s">
        <v>113</v>
      </c>
      <c r="AD58" s="393"/>
      <c r="AE58" s="393"/>
      <c r="AF58" s="393"/>
      <c r="AG58" s="393"/>
      <c r="AH58" s="393"/>
      <c r="AI58" s="393"/>
      <c r="AJ58" s="393"/>
      <c r="AK58" s="393"/>
      <c r="AL58" s="393"/>
      <c r="AM58" s="393"/>
      <c r="AN58" s="393"/>
      <c r="AO58" s="393"/>
      <c r="AP58" s="393"/>
    </row>
    <row r="59" spans="1:39" s="53" customFormat="1" ht="22.5" customHeight="1">
      <c r="A59" s="418" t="s">
        <v>23</v>
      </c>
      <c r="B59" s="418"/>
      <c r="C59" s="418"/>
      <c r="D59" s="418"/>
      <c r="E59" s="418"/>
      <c r="G59" s="1" t="s">
        <v>180</v>
      </c>
      <c r="H59" s="400"/>
      <c r="I59" s="405"/>
      <c r="J59" s="405"/>
      <c r="K59" s="405"/>
      <c r="L59" s="405"/>
      <c r="M59" s="405"/>
      <c r="N59" s="405"/>
      <c r="O59" s="405"/>
      <c r="P59" s="405"/>
      <c r="T59" s="302"/>
      <c r="U59" s="302"/>
      <c r="V59" s="54"/>
      <c r="W59" s="49" t="s">
        <v>181</v>
      </c>
      <c r="Z59" s="400"/>
      <c r="AA59" s="405"/>
      <c r="AB59" s="405"/>
      <c r="AH59" s="49" t="s">
        <v>184</v>
      </c>
      <c r="AJ59" s="55"/>
      <c r="AL59" s="422">
        <f>IF(H59="N/A","N/A",IF(H59="MARKET GRADE",VLOOKUP(Z59,'SCREEN DATA'!B5:G32,2),IF(H59="TENSILE BOLTING",VLOOKUP(Z59,'SCREEN DATA'!K5:P44,2),"")))</f>
      </c>
      <c r="AM59" s="447"/>
    </row>
    <row r="60" spans="1:41" s="53" customFormat="1" ht="22.5" customHeight="1">
      <c r="A60" s="423" t="str">
        <f>IF(H59="PERFORATED PLATE","HOLE DIAMETER:",IF(H59="ROD","ROD DIAMETER:",IF(H59="WEDGE WIRE","ROD SIZE","HOLE DIA. / ROD DIA. / ROD SIZE")))</f>
        <v>HOLE DIA. / ROD DIA. / ROD SIZE</v>
      </c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430"/>
      <c r="O60" s="430"/>
      <c r="P60" s="430"/>
      <c r="R60" s="54"/>
      <c r="V60" s="54"/>
      <c r="W60" s="392" t="s">
        <v>182</v>
      </c>
      <c r="X60" s="420"/>
      <c r="Y60" s="420"/>
      <c r="Z60" s="420"/>
      <c r="AA60" s="420"/>
      <c r="AB60" s="420"/>
      <c r="AC60" s="422">
        <f>IF(H59="N/A","N/A",IF(H59="MARKET GRADE",VLOOKUP(Z59,'SCREEN DATA'!B5:G32,3),IF(H59="TENSILE BOLTING",VLOOKUP(Z59,'SCREEN DATA'!K5:P44,3),"")))</f>
      </c>
      <c r="AD60" s="422"/>
      <c r="AE60" s="422"/>
      <c r="AF60" s="54"/>
      <c r="AG60" s="398" t="s">
        <v>183</v>
      </c>
      <c r="AH60" s="415"/>
      <c r="AI60" s="415"/>
      <c r="AJ60" s="415"/>
      <c r="AK60" s="415"/>
      <c r="AL60" s="415"/>
      <c r="AM60" s="446">
        <f>IF(H59="N/A","N/A",1-IF(H59="MARKET GRADE",VLOOKUP(Z59,'SCREEN DATA'!B5:G32,4),IF(Z59="",1,IF(H59="TENSILE BOLTING",VLOOKUP(Z59,'SCREEN DATA'!K5:P44,4),"1"))))</f>
        <v>0</v>
      </c>
      <c r="AN60" s="446"/>
      <c r="AO60" s="446"/>
    </row>
    <row r="61" spans="1:38" s="54" customFormat="1" ht="22.5" customHeight="1">
      <c r="A61" s="398" t="str">
        <f>IF(OR(H59="ROD",H59="WEDGE WIRE"),"SPACE BETWEEN RODS:",IF(H59="PERFORATED PLATE","","SPACE BETWEEN RODS"))</f>
        <v>SPACE BETWEEN RODS</v>
      </c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430"/>
      <c r="O61" s="474"/>
      <c r="P61" s="474"/>
      <c r="Q61" s="473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5"/>
    </row>
    <row r="62" spans="1:44" s="53" customFormat="1" ht="21.75" customHeight="1">
      <c r="A62" s="418" t="s">
        <v>24</v>
      </c>
      <c r="B62" s="418"/>
      <c r="C62" s="418"/>
      <c r="D62" s="418"/>
      <c r="E62" s="418"/>
      <c r="F62" s="418"/>
      <c r="G62" s="400" t="s">
        <v>243</v>
      </c>
      <c r="H62" s="400"/>
      <c r="I62" s="400"/>
      <c r="J62" s="400"/>
      <c r="T62" s="302"/>
      <c r="U62" s="302"/>
      <c r="AP62" s="1"/>
      <c r="AQ62" s="1"/>
      <c r="AR62" s="54"/>
    </row>
    <row r="63" spans="1:44" s="53" customFormat="1" ht="21.75" customHeight="1">
      <c r="A63" s="40"/>
      <c r="B63" s="40"/>
      <c r="C63" s="40"/>
      <c r="D63" s="40"/>
      <c r="E63" s="49"/>
      <c r="F63" s="54"/>
      <c r="G63" s="326" t="s">
        <v>180</v>
      </c>
      <c r="H63" s="400"/>
      <c r="I63" s="405"/>
      <c r="J63" s="405"/>
      <c r="K63" s="405"/>
      <c r="L63" s="405"/>
      <c r="M63" s="405"/>
      <c r="N63" s="405"/>
      <c r="O63" s="405"/>
      <c r="P63" s="427"/>
      <c r="T63" s="302"/>
      <c r="U63" s="302"/>
      <c r="V63" s="54"/>
      <c r="W63" s="392" t="s">
        <v>181</v>
      </c>
      <c r="X63" s="420"/>
      <c r="Y63" s="420"/>
      <c r="Z63" s="400"/>
      <c r="AA63" s="405"/>
      <c r="AB63" s="405"/>
      <c r="AC63" s="54"/>
      <c r="AD63" s="54"/>
      <c r="AE63" s="54"/>
      <c r="AF63" s="54"/>
      <c r="AG63" s="54"/>
      <c r="AH63" s="392" t="s">
        <v>184</v>
      </c>
      <c r="AI63" s="393"/>
      <c r="AJ63" s="393"/>
      <c r="AK63" s="393"/>
      <c r="AL63" s="422">
        <f>IF(H63="N/A","N/A",IF(H63="MARKET GRADE",VLOOKUP(Z63,'SCREEN DATA'!B5:G32,2),IF(H63="TENSILE BOLTING",VLOOKUP(Z63,'SCREEN DATA'!K5:P44,2),"")))</f>
      </c>
      <c r="AM63" s="447"/>
      <c r="AP63" s="1"/>
      <c r="AQ63" s="1"/>
      <c r="AR63" s="54"/>
    </row>
    <row r="64" spans="1:44" s="53" customFormat="1" ht="21.75" customHeight="1">
      <c r="A64" s="398" t="str">
        <f>IF(H63="PERFORATED PLATE","THICKNESS:",IF(H63="ROD","ROD DIAMETER:",IF(H63="WEDGE WIRE","ROD SIZE","PLATE THICKNESS / ROD DIA. / ROD SIZE")))</f>
        <v>PLATE THICKNESS / ROD DIA. / ROD SIZE</v>
      </c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430"/>
      <c r="O64" s="430"/>
      <c r="P64" s="430"/>
      <c r="U64" s="55"/>
      <c r="W64" s="392" t="s">
        <v>182</v>
      </c>
      <c r="X64" s="420"/>
      <c r="Y64" s="420"/>
      <c r="Z64" s="420"/>
      <c r="AA64" s="420"/>
      <c r="AB64" s="420"/>
      <c r="AC64" s="422">
        <f>IF(H63="N/A","N/A",IF(H63="MARKET GRADE",VLOOKUP(Z63,'SCREEN DATA'!B5:G32,3),IF(H63="TENSILE BOLTING",VLOOKUP(Z63,'SCREEN DATA'!K5:P44,3),"")))</f>
      </c>
      <c r="AD64" s="447"/>
      <c r="AE64" s="447"/>
      <c r="AG64" s="398" t="s">
        <v>183</v>
      </c>
      <c r="AH64" s="415"/>
      <c r="AI64" s="415"/>
      <c r="AJ64" s="415"/>
      <c r="AK64" s="415"/>
      <c r="AL64" s="415"/>
      <c r="AM64" s="446">
        <f>IF(H63="N/A","N/A",1-IF(H63="MARKET GRADE",VLOOKUP(Z63,'SCREEN DATA'!B5:G32,4),IF(Z63="",1,IF(H63="TENSILE BOLTING",VLOOKUP(Z63,'SCREEN DATA'!K5:P44,4),"1"))))</f>
        <v>0</v>
      </c>
      <c r="AN64" s="447"/>
      <c r="AO64" s="447"/>
      <c r="AP64" s="338"/>
      <c r="AQ64" s="338"/>
      <c r="AR64" s="338"/>
    </row>
    <row r="65" spans="1:44" s="53" customFormat="1" ht="21" customHeight="1">
      <c r="A65" s="423" t="str">
        <f>IF(OR(H63="ROD",H63="WEDGE WIRE"),"SPACE BETWEEN RODS:",IF(H63="PERFORATED PLATE","HOLE DIAMETER:","HOLE DIA. / SPACE BETWEEN RODS"))</f>
        <v>HOLE DIA. / SPACE BETWEEN RODS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430"/>
      <c r="O65" s="475"/>
      <c r="P65" s="475"/>
      <c r="R65" s="443">
        <f>IF(H63="PERFORATED PLATE",IF(N65&lt;N64,"HOLE DIAMETER CANNOT BE SMALLER THAN PLATE THICKNESS",""),"")</f>
      </c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445"/>
      <c r="AN65" s="338"/>
      <c r="AO65" s="338"/>
      <c r="AP65" s="338"/>
      <c r="AQ65" s="338"/>
      <c r="AR65" s="338"/>
    </row>
    <row r="66" spans="1:44" s="53" customFormat="1" ht="16.5" customHeight="1" thickBot="1">
      <c r="A66" s="387">
        <f>IF(N6="",0,IF(F57="NO",0,1))</f>
        <v>0</v>
      </c>
      <c r="B66" s="387">
        <f>IF(A66="",1,IF(A66=0,0,IF(OR(Z58="",F58="YES OR NO",IF(OR(H59="MARKET GRADE",H59="TENSILE BOLTING"),Z59="",OR(N60="",N61=""))),1,0)))</f>
        <v>0</v>
      </c>
      <c r="C66" s="388">
        <f>IF(A66=0,0,IF(G62="NO",0,1))</f>
        <v>0</v>
      </c>
      <c r="D66" s="388">
        <f>IF(C66=1,IF(OR(H63="",IF(OR(H63="MARKET GRADE",H63="TENSILE BOLTING"),Z63="",OR(N64="",N65=""))),1,0),0)</f>
        <v>0</v>
      </c>
      <c r="E66" s="388">
        <f>IF(B66+D66=0,0,1)</f>
        <v>0</v>
      </c>
      <c r="F66" s="136"/>
      <c r="G66" s="136"/>
      <c r="H66" s="136"/>
      <c r="I66" s="136"/>
      <c r="J66" s="136"/>
      <c r="K66" s="136"/>
      <c r="L66" s="136"/>
      <c r="M66" s="340"/>
      <c r="N66" s="340"/>
      <c r="O66" s="31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341"/>
      <c r="AN66" s="341"/>
      <c r="AO66" s="341"/>
      <c r="AP66" s="338"/>
      <c r="AQ66" s="338"/>
      <c r="AR66" s="338"/>
    </row>
    <row r="67" spans="1:44" s="53" customFormat="1" ht="9" customHeight="1" thickTop="1">
      <c r="A67" s="54"/>
      <c r="B67" s="54"/>
      <c r="C67" s="54"/>
      <c r="E67" s="326"/>
      <c r="J67" s="301"/>
      <c r="K67" s="301"/>
      <c r="L67" s="342"/>
      <c r="M67" s="342"/>
      <c r="N67" s="342"/>
      <c r="O67" s="302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28"/>
      <c r="AM67" s="338"/>
      <c r="AN67" s="338"/>
      <c r="AO67" s="338"/>
      <c r="AP67" s="338"/>
      <c r="AQ67" s="338"/>
      <c r="AR67" s="338"/>
    </row>
    <row r="68" spans="1:32" s="53" customFormat="1" ht="21.75" customHeight="1">
      <c r="A68" s="428" t="s">
        <v>17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00" t="s">
        <v>243</v>
      </c>
      <c r="L68" s="400"/>
      <c r="M68" s="400"/>
      <c r="N68" s="400"/>
      <c r="W68" s="418" t="s">
        <v>208</v>
      </c>
      <c r="X68" s="420"/>
      <c r="Y68" s="420"/>
      <c r="Z68" s="422" t="str">
        <f>CONCATENATE("VFM - ",IF(G23="","",IF(G23="MECHANICAL",IF(G24="ULTRA FORCE","UF",IF(G24="BRUTE FORCE","BF",G24)),IF(G23="ELECTRO-MAGNETIC",O24)))," - ",G70," - ",G77)</f>
        <v>VFM -  -  - </v>
      </c>
      <c r="AA68" s="456"/>
      <c r="AB68" s="456"/>
      <c r="AC68" s="456"/>
      <c r="AD68" s="456"/>
      <c r="AE68" s="456"/>
      <c r="AF68" s="456"/>
    </row>
    <row r="69" spans="1:18" s="53" customFormat="1" ht="10.5" customHeight="1">
      <c r="A69" s="325"/>
      <c r="B69" s="325"/>
      <c r="C69" s="325"/>
      <c r="D69" s="325"/>
      <c r="E69" s="325"/>
      <c r="F69" s="325"/>
      <c r="G69" s="325"/>
      <c r="H69" s="325"/>
      <c r="I69" s="325"/>
      <c r="J69" s="325"/>
      <c r="K69" s="58"/>
      <c r="O69" s="110"/>
      <c r="P69" s="325"/>
      <c r="Q69" s="325"/>
      <c r="R69" s="325"/>
    </row>
    <row r="70" spans="1:41" s="53" customFormat="1" ht="21.75" customHeight="1">
      <c r="A70" s="428" t="s">
        <v>262</v>
      </c>
      <c r="B70" s="428"/>
      <c r="C70" s="428"/>
      <c r="D70" s="418" t="s">
        <v>270</v>
      </c>
      <c r="E70" s="393"/>
      <c r="F70" s="393"/>
      <c r="G70" s="400"/>
      <c r="H70" s="400"/>
      <c r="I70" s="88" t="s">
        <v>275</v>
      </c>
      <c r="J70" s="346">
        <v>3</v>
      </c>
      <c r="K70" s="392" t="s">
        <v>271</v>
      </c>
      <c r="L70" s="393"/>
      <c r="M70" s="393"/>
      <c r="N70" s="400"/>
      <c r="O70" s="400"/>
      <c r="P70" s="400"/>
      <c r="Q70" s="400"/>
      <c r="R70" s="400"/>
      <c r="S70" s="400"/>
      <c r="T70" s="54"/>
      <c r="U70" s="54"/>
      <c r="V70" s="54"/>
      <c r="W70" s="426" t="s">
        <v>263</v>
      </c>
      <c r="X70" s="393"/>
      <c r="Y70" s="393"/>
      <c r="Z70" s="393"/>
      <c r="AA70" s="393"/>
      <c r="AB70" s="393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</row>
    <row r="71" spans="1:41" s="54" customFormat="1" ht="21.75" customHeight="1">
      <c r="A71" s="418" t="s">
        <v>272</v>
      </c>
      <c r="B71" s="393"/>
      <c r="C71" s="393"/>
      <c r="D71" s="400"/>
      <c r="E71" s="405"/>
      <c r="F71" s="405"/>
      <c r="G71" s="405"/>
      <c r="H71" s="405"/>
      <c r="I71" s="405"/>
      <c r="J71" s="398">
        <f>IF(D71="PLEASE CHOOSE ONE","",IF(D71="ROUND","ENTER DIA.",IF(D71="RECTANGULAR","ENTER L X W",IF(D71="SQUARE","ENTER SIDE",""))))</f>
      </c>
      <c r="K71" s="393"/>
      <c r="L71" s="393"/>
      <c r="M71" s="393"/>
      <c r="N71" s="393"/>
      <c r="O71" s="429"/>
      <c r="P71" s="429"/>
      <c r="Q71" s="381" t="s">
        <v>280</v>
      </c>
      <c r="R71" s="429"/>
      <c r="S71" s="429"/>
      <c r="W71" s="426" t="s">
        <v>264</v>
      </c>
      <c r="X71" s="393"/>
      <c r="Y71" s="393"/>
      <c r="Z71" s="393"/>
      <c r="AA71" s="393"/>
      <c r="AB71" s="393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</row>
    <row r="72" spans="1:17" s="54" customFormat="1" ht="22.5" customHeight="1">
      <c r="A72" s="426" t="s">
        <v>186</v>
      </c>
      <c r="B72" s="426"/>
      <c r="C72" s="426"/>
      <c r="D72" s="426"/>
      <c r="E72" s="400"/>
      <c r="F72" s="400"/>
      <c r="G72" s="400"/>
      <c r="H72" s="400"/>
      <c r="I72" s="400"/>
      <c r="K72" s="426" t="s">
        <v>178</v>
      </c>
      <c r="L72" s="393"/>
      <c r="M72" s="393"/>
      <c r="N72" s="393"/>
      <c r="O72" s="400"/>
      <c r="P72" s="400"/>
      <c r="Q72" s="472"/>
    </row>
    <row r="73" spans="5:17" s="54" customFormat="1" ht="10.5" customHeight="1">
      <c r="E73" s="55"/>
      <c r="F73" s="110"/>
      <c r="G73" s="110"/>
      <c r="H73" s="110"/>
      <c r="I73" s="110"/>
      <c r="L73" s="375"/>
      <c r="M73" s="375"/>
      <c r="N73" s="375"/>
      <c r="O73" s="55"/>
      <c r="P73" s="55"/>
      <c r="Q73" s="382"/>
    </row>
    <row r="74" spans="1:41" s="54" customFormat="1" ht="22.5" customHeight="1">
      <c r="A74" s="453" t="s">
        <v>245</v>
      </c>
      <c r="B74" s="455"/>
      <c r="C74" s="455"/>
      <c r="D74" s="421" t="s">
        <v>246</v>
      </c>
      <c r="E74" s="421"/>
      <c r="F74" s="421"/>
      <c r="G74" s="421"/>
      <c r="H74" s="421"/>
      <c r="I74" s="421"/>
      <c r="J74" s="400"/>
      <c r="K74" s="400"/>
      <c r="L74" s="400"/>
      <c r="M74" s="398" t="s">
        <v>186</v>
      </c>
      <c r="N74" s="420"/>
      <c r="O74" s="420"/>
      <c r="P74" s="420"/>
      <c r="Q74" s="400"/>
      <c r="R74" s="400"/>
      <c r="S74" s="400"/>
      <c r="T74" s="50"/>
      <c r="U74" s="50"/>
      <c r="V74" s="53"/>
      <c r="W74" s="392" t="s">
        <v>177</v>
      </c>
      <c r="X74" s="420"/>
      <c r="Y74" s="420"/>
      <c r="Z74" s="42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5"/>
      <c r="AM74" s="405"/>
      <c r="AN74" s="405"/>
      <c r="AO74" s="405"/>
    </row>
    <row r="75" s="54" customFormat="1" ht="9.75" customHeight="1"/>
    <row r="76" spans="1:9" s="54" customFormat="1" ht="22.5" customHeight="1">
      <c r="A76" s="453" t="s">
        <v>274</v>
      </c>
      <c r="B76" s="453"/>
      <c r="C76" s="453"/>
      <c r="D76" s="453"/>
      <c r="E76" s="453"/>
      <c r="F76" s="400" t="s">
        <v>243</v>
      </c>
      <c r="G76" s="400"/>
      <c r="H76" s="400"/>
      <c r="I76" s="400"/>
    </row>
    <row r="77" spans="1:41" s="54" customFormat="1" ht="21.75" customHeight="1">
      <c r="A77" s="418" t="s">
        <v>261</v>
      </c>
      <c r="B77" s="420"/>
      <c r="C77" s="420"/>
      <c r="D77" s="420"/>
      <c r="E77" s="393"/>
      <c r="F77" s="393"/>
      <c r="G77" s="400"/>
      <c r="H77" s="400"/>
      <c r="I77" s="400"/>
      <c r="J77" s="302"/>
      <c r="K77" s="302"/>
      <c r="L77" s="302"/>
      <c r="M77" s="302"/>
      <c r="N77" s="302"/>
      <c r="O77" s="302"/>
      <c r="V77" s="53"/>
      <c r="W77" s="410" t="s">
        <v>15</v>
      </c>
      <c r="X77" s="410"/>
      <c r="Y77" s="410"/>
      <c r="Z77" s="410"/>
      <c r="AA77" s="404"/>
      <c r="AB77" s="404"/>
      <c r="AC77" s="404"/>
      <c r="AD77" s="398" t="s">
        <v>16</v>
      </c>
      <c r="AE77" s="421"/>
      <c r="AF77" s="421"/>
      <c r="AG77" s="422">
        <f>IF(AA77="","",60)</f>
      </c>
      <c r="AH77" s="422"/>
      <c r="AI77" s="422"/>
      <c r="AJ77" s="398" t="s">
        <v>25</v>
      </c>
      <c r="AK77" s="462"/>
      <c r="AL77" s="462"/>
      <c r="AM77" s="422">
        <f>IF(AA77="","",1)</f>
      </c>
      <c r="AN77" s="456"/>
      <c r="AO77" s="456"/>
    </row>
    <row r="78" spans="1:38" s="54" customFormat="1" ht="21.75" customHeight="1">
      <c r="A78" s="426" t="s">
        <v>267</v>
      </c>
      <c r="B78" s="426"/>
      <c r="C78" s="426"/>
      <c r="D78" s="426"/>
      <c r="E78" s="426"/>
      <c r="F78" s="426"/>
      <c r="G78" s="426"/>
      <c r="H78" s="426"/>
      <c r="I78" s="426"/>
      <c r="J78" s="400"/>
      <c r="K78" s="400"/>
      <c r="L78" s="55"/>
      <c r="M78" s="348"/>
      <c r="AH78" s="426" t="s">
        <v>209</v>
      </c>
      <c r="AI78" s="426"/>
      <c r="AJ78" s="463">
        <f>IF(J78="","",J78*'BIN VIBRATORS'!B12)</f>
      </c>
      <c r="AK78" s="463"/>
      <c r="AL78" s="463"/>
    </row>
    <row r="79" spans="1:41" s="53" customFormat="1" ht="32.25" customHeight="1">
      <c r="A79" s="451" t="s">
        <v>187</v>
      </c>
      <c r="B79" s="428"/>
      <c r="C79" s="428"/>
      <c r="D79" s="428"/>
      <c r="E79" s="428"/>
      <c r="F79" s="428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</row>
    <row r="80" spans="1:41" s="53" customFormat="1" ht="22.5" customHeight="1">
      <c r="A80" s="457"/>
      <c r="B80" s="476"/>
      <c r="C80" s="476"/>
      <c r="D80" s="476"/>
      <c r="E80" s="476"/>
      <c r="F80" s="476"/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6"/>
      <c r="Y80" s="476"/>
      <c r="Z80" s="476"/>
      <c r="AA80" s="476"/>
      <c r="AB80" s="476"/>
      <c r="AC80" s="476"/>
      <c r="AD80" s="476"/>
      <c r="AE80" s="476"/>
      <c r="AF80" s="476"/>
      <c r="AG80" s="476"/>
      <c r="AH80" s="476"/>
      <c r="AI80" s="476"/>
      <c r="AJ80" s="476"/>
      <c r="AK80" s="476"/>
      <c r="AL80" s="476"/>
      <c r="AM80" s="476"/>
      <c r="AN80" s="476"/>
      <c r="AO80" s="476"/>
    </row>
    <row r="81" spans="1:41" s="53" customFormat="1" ht="22.5" customHeight="1">
      <c r="A81" s="476"/>
      <c r="B81" s="476"/>
      <c r="C81" s="476"/>
      <c r="D81" s="476"/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  <c r="S81" s="476"/>
      <c r="T81" s="476"/>
      <c r="U81" s="476"/>
      <c r="V81" s="476"/>
      <c r="W81" s="476"/>
      <c r="X81" s="476"/>
      <c r="Y81" s="476"/>
      <c r="Z81" s="476"/>
      <c r="AA81" s="476"/>
      <c r="AB81" s="476"/>
      <c r="AC81" s="476"/>
      <c r="AD81" s="476"/>
      <c r="AE81" s="476"/>
      <c r="AF81" s="476"/>
      <c r="AG81" s="476"/>
      <c r="AH81" s="476"/>
      <c r="AI81" s="476"/>
      <c r="AJ81" s="476"/>
      <c r="AK81" s="476"/>
      <c r="AL81" s="476"/>
      <c r="AM81" s="476"/>
      <c r="AN81" s="476"/>
      <c r="AO81" s="476"/>
    </row>
    <row r="82" spans="1:41" s="53" customFormat="1" ht="16.5" customHeight="1" thickBot="1">
      <c r="A82" s="386">
        <f>IF(N6="",0,IF(OR(K68="YES",K68="YES OR NO"),1,0))</f>
        <v>0</v>
      </c>
      <c r="B82" s="386">
        <f>IF(A82=1,IF(OR(G70="",N70="",IF(N70="OTHER",AC70="",K68=""),D71="",O71="",IF(D71="OTHER",AC71="",K68=""),E72="",O72="",J74="",Q74="",IF(OR(J74="OTHER",Q74="OTHER"),AA74="",K68=""),F76="YES OR NO",IF(F76="YES",G77="",K68=""),IF(F76="YES",AA77="",K68=""),IF(F76="YES",J78="",K68="")),1,0),0)</f>
        <v>0</v>
      </c>
      <c r="C82" s="384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</row>
    <row r="83" spans="1:58" s="53" customFormat="1" ht="9.75" customHeight="1" thickTop="1">
      <c r="A83" s="58"/>
      <c r="B83" s="58"/>
      <c r="C83" s="1"/>
      <c r="D83" s="1"/>
      <c r="E83" s="1"/>
      <c r="F83" s="1"/>
      <c r="G83" s="1"/>
      <c r="H83" s="1"/>
      <c r="I83" s="1"/>
      <c r="J83" s="1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247"/>
    </row>
    <row r="84" spans="1:58" s="53" customFormat="1" ht="22.5" customHeight="1">
      <c r="A84" s="453" t="s">
        <v>294</v>
      </c>
      <c r="B84" s="393"/>
      <c r="C84" s="393"/>
      <c r="D84" s="393"/>
      <c r="E84" s="400" t="s">
        <v>243</v>
      </c>
      <c r="F84" s="400"/>
      <c r="G84" s="400"/>
      <c r="H84" s="400"/>
      <c r="I84" s="1"/>
      <c r="J84" s="1"/>
      <c r="AV84" s="247"/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</row>
    <row r="85" spans="1:58" s="53" customFormat="1" ht="22.5" customHeight="1">
      <c r="A85" s="451" t="s">
        <v>14</v>
      </c>
      <c r="B85" s="393"/>
      <c r="C85" s="393"/>
      <c r="D85" s="393"/>
      <c r="E85" s="393"/>
      <c r="F85" s="393"/>
      <c r="G85" s="393"/>
      <c r="H85" s="393"/>
      <c r="I85" s="393"/>
      <c r="J85" s="393"/>
      <c r="K85" s="400"/>
      <c r="L85" s="424"/>
      <c r="M85" s="424"/>
      <c r="N85" s="424"/>
      <c r="O85" s="424"/>
      <c r="P85" s="454"/>
      <c r="Q85" s="461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G85" s="398" t="s">
        <v>266</v>
      </c>
      <c r="AH85" s="393"/>
      <c r="AI85" s="393"/>
      <c r="AJ85" s="393"/>
      <c r="AK85" s="393"/>
      <c r="AL85" s="464" t="str">
        <f>IF(Q25="","",IF(AJ78="",Q25,Q25+AJ78))</f>
        <v>N/A</v>
      </c>
      <c r="AM85" s="465"/>
      <c r="AN85" s="465"/>
      <c r="AP85" s="1"/>
      <c r="AQ85" s="1"/>
      <c r="AR85" s="54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</row>
    <row r="86" spans="1:58" s="53" customFormat="1" ht="22.5" customHeight="1">
      <c r="A86" s="418" t="s">
        <v>92</v>
      </c>
      <c r="B86" s="418"/>
      <c r="C86" s="418"/>
      <c r="D86" s="418"/>
      <c r="E86" s="418"/>
      <c r="F86" s="418"/>
      <c r="G86" s="418"/>
      <c r="H86" s="418"/>
      <c r="I86" s="418"/>
      <c r="J86" s="415"/>
      <c r="K86" s="422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398" t="s">
        <v>15</v>
      </c>
      <c r="AA86" s="398"/>
      <c r="AB86" s="398"/>
      <c r="AC86" s="398"/>
      <c r="AD86" s="485">
        <f>IF(AA77="",IF(AA24="","",AA24),IF(AA24=AA77,AA77,"*"))</f>
      </c>
      <c r="AE86" s="485"/>
      <c r="AF86" s="398" t="s">
        <v>16</v>
      </c>
      <c r="AG86" s="450"/>
      <c r="AH86" s="450"/>
      <c r="AI86" s="422">
        <f>IF(AG77="",IF(AG24="","",AG24),IF(AG24=AG77,AG77,"*"))</f>
      </c>
      <c r="AJ86" s="447"/>
      <c r="AM86" s="326" t="s">
        <v>25</v>
      </c>
      <c r="AN86" s="422">
        <f>IF(AM77="",IF(AN24="","",AN24),IF(AM77=AN24,AM77,"*"))</f>
      </c>
      <c r="AO86" s="456"/>
      <c r="AP86" s="326"/>
      <c r="AQ86" s="326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</row>
    <row r="87" spans="1:58" s="53" customFormat="1" ht="9" customHeight="1">
      <c r="A87" s="49"/>
      <c r="B87" s="49"/>
      <c r="C87" s="49"/>
      <c r="D87" s="49"/>
      <c r="E87" s="49"/>
      <c r="F87" s="49"/>
      <c r="G87" s="49"/>
      <c r="H87" s="49"/>
      <c r="I87" s="49"/>
      <c r="J87" s="55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54"/>
      <c r="Y87" s="54"/>
      <c r="Z87" s="54"/>
      <c r="AL87" s="54"/>
      <c r="AM87" s="54"/>
      <c r="AN87" s="1"/>
      <c r="AO87" s="55"/>
      <c r="AP87" s="326"/>
      <c r="AQ87" s="326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</row>
    <row r="88" spans="1:58" s="53" customFormat="1" ht="21.75" customHeight="1">
      <c r="A88" s="308" t="s">
        <v>13</v>
      </c>
      <c r="B88" s="40"/>
      <c r="C88" s="40"/>
      <c r="D88" s="40"/>
      <c r="E88" s="40"/>
      <c r="F88" s="40"/>
      <c r="G88" s="40"/>
      <c r="H88" s="477">
        <f>IF(AND(AD86=AA24,AG77=AG24,AM77=AN24),"",CONCATENATE("*Note: Feeder and Bin ",IF(AA24=AA77,"","VOLTAGE "),IF(OR(AA77=AA24,AG77=AG24),"","and "),IF(AG24=AG77,"","CYCLE "),IF(OR(AN24=AM77,AA24=AA77),"",IF(AG24=AG77,"and ","")),IF(OR(AN24=AM77,AG24=AG77),"","and "),IF(AN24=AM77,"","PHASE "),"DO NOT MATCH"))</f>
      </c>
      <c r="I88" s="484"/>
      <c r="J88" s="484"/>
      <c r="K88" s="484"/>
      <c r="L88" s="484"/>
      <c r="M88" s="484"/>
      <c r="N88" s="484"/>
      <c r="O88" s="484"/>
      <c r="P88" s="484"/>
      <c r="Q88" s="484"/>
      <c r="R88" s="484"/>
      <c r="S88" s="484"/>
      <c r="T88" s="484"/>
      <c r="U88" s="484"/>
      <c r="V88" s="484"/>
      <c r="W88" s="484"/>
      <c r="X88" s="484"/>
      <c r="Y88" s="484"/>
      <c r="Z88" s="484"/>
      <c r="AA88" s="484"/>
      <c r="AB88" s="484"/>
      <c r="AC88" s="484"/>
      <c r="AD88" s="484"/>
      <c r="AE88" s="484"/>
      <c r="AF88" s="484"/>
      <c r="AG88" s="484"/>
      <c r="AH88" s="484"/>
      <c r="AI88" s="484"/>
      <c r="AJ88" s="484"/>
      <c r="AK88" s="484"/>
      <c r="AL88" s="484"/>
      <c r="AM88" s="484"/>
      <c r="AN88" s="484"/>
      <c r="AO88" s="484"/>
      <c r="AP88" s="55"/>
      <c r="AQ88" s="55"/>
      <c r="AR88" s="310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</row>
    <row r="89" spans="1:57" s="53" customFormat="1" ht="22.5" customHeight="1">
      <c r="A89" s="457"/>
      <c r="B89" s="457"/>
      <c r="C89" s="457"/>
      <c r="D89" s="457"/>
      <c r="E89" s="457"/>
      <c r="F89" s="457"/>
      <c r="G89" s="457"/>
      <c r="H89" s="457"/>
      <c r="I89" s="457"/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57"/>
      <c r="U89" s="457"/>
      <c r="V89" s="457"/>
      <c r="W89" s="457"/>
      <c r="X89" s="457"/>
      <c r="Y89" s="457"/>
      <c r="Z89" s="457"/>
      <c r="AA89" s="457"/>
      <c r="AB89" s="457"/>
      <c r="AC89" s="457"/>
      <c r="AD89" s="457"/>
      <c r="AE89" s="457"/>
      <c r="AF89" s="457"/>
      <c r="AG89" s="457"/>
      <c r="AH89" s="457"/>
      <c r="AI89" s="457"/>
      <c r="AJ89" s="457"/>
      <c r="AK89" s="457"/>
      <c r="AL89" s="457"/>
      <c r="AM89" s="457"/>
      <c r="AN89" s="457"/>
      <c r="AO89" s="457"/>
      <c r="AP89" s="55"/>
      <c r="AQ89" s="55"/>
      <c r="AR89" s="310"/>
      <c r="BC89" s="171"/>
      <c r="BD89" s="171"/>
      <c r="BE89" s="171"/>
    </row>
    <row r="90" spans="1:44" s="53" customFormat="1" ht="22.5" customHeight="1">
      <c r="A90" s="458"/>
      <c r="B90" s="458"/>
      <c r="C90" s="458"/>
      <c r="D90" s="458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  <c r="AC90" s="458"/>
      <c r="AD90" s="458"/>
      <c r="AE90" s="458"/>
      <c r="AF90" s="458"/>
      <c r="AG90" s="458"/>
      <c r="AH90" s="458"/>
      <c r="AI90" s="458"/>
      <c r="AJ90" s="458"/>
      <c r="AK90" s="458"/>
      <c r="AL90" s="458"/>
      <c r="AM90" s="458"/>
      <c r="AN90" s="458"/>
      <c r="AO90" s="458"/>
      <c r="AP90" s="55"/>
      <c r="AQ90" s="55"/>
      <c r="AR90" s="310"/>
    </row>
    <row r="91" spans="1:61" ht="21.75" customHeight="1">
      <c r="A91" s="451" t="s">
        <v>242</v>
      </c>
      <c r="B91" s="451"/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78"/>
      <c r="X91" s="478"/>
      <c r="Y91" s="478"/>
      <c r="Z91" s="393"/>
      <c r="AA91" s="395"/>
      <c r="AB91" s="385">
        <f>IF(N6="",0,IF(E84="NO",0,IF(K85="",1,0)))</f>
        <v>0</v>
      </c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BI91" s="53"/>
    </row>
    <row r="92" spans="1:61" ht="21.75" customHeight="1">
      <c r="A92" s="481"/>
      <c r="B92" s="481"/>
      <c r="C92" s="481"/>
      <c r="D92" s="481"/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1"/>
      <c r="P92" s="481"/>
      <c r="Q92" s="481"/>
      <c r="R92" s="481"/>
      <c r="S92" s="481"/>
      <c r="T92" s="481"/>
      <c r="U92" s="481"/>
      <c r="V92" s="481"/>
      <c r="W92" s="481"/>
      <c r="X92" s="481"/>
      <c r="Y92" s="481"/>
      <c r="Z92" s="481"/>
      <c r="AA92" s="481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  <c r="AM92" s="481"/>
      <c r="AN92" s="481"/>
      <c r="AO92" s="481"/>
      <c r="AP92" s="53"/>
      <c r="AQ92" s="53"/>
      <c r="AR92" s="53"/>
      <c r="BI92" s="53"/>
    </row>
    <row r="93" spans="1:61" ht="21.75" customHeight="1">
      <c r="A93" s="481"/>
      <c r="B93" s="481"/>
      <c r="C93" s="481"/>
      <c r="D93" s="481"/>
      <c r="E93" s="481"/>
      <c r="F93" s="481"/>
      <c r="G93" s="481"/>
      <c r="H93" s="481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  <c r="AB93" s="481"/>
      <c r="AC93" s="481"/>
      <c r="AD93" s="481"/>
      <c r="AE93" s="481"/>
      <c r="AF93" s="481"/>
      <c r="AG93" s="481"/>
      <c r="AH93" s="481"/>
      <c r="AI93" s="481"/>
      <c r="AJ93" s="481"/>
      <c r="AK93" s="481"/>
      <c r="AL93" s="481"/>
      <c r="AM93" s="481"/>
      <c r="AN93" s="481"/>
      <c r="AO93" s="481"/>
      <c r="AP93" s="53"/>
      <c r="AQ93" s="53"/>
      <c r="AR93" s="53"/>
      <c r="BI93" s="53"/>
    </row>
    <row r="94" spans="1:61" ht="21.75" customHeight="1">
      <c r="A94" s="481"/>
      <c r="B94" s="481"/>
      <c r="C94" s="481"/>
      <c r="D94" s="481"/>
      <c r="E94" s="481"/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1"/>
      <c r="AO94" s="481"/>
      <c r="AP94" s="53"/>
      <c r="AQ94" s="53"/>
      <c r="AR94" s="53"/>
      <c r="BI94" s="53"/>
    </row>
    <row r="95" spans="1:61" ht="21.75" customHeight="1">
      <c r="A95" s="481"/>
      <c r="B95" s="481"/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481"/>
      <c r="AL95" s="481"/>
      <c r="AM95" s="481"/>
      <c r="AN95" s="481"/>
      <c r="AO95" s="481"/>
      <c r="AP95" s="53"/>
      <c r="AQ95" s="53"/>
      <c r="AR95" s="53"/>
      <c r="BI95" s="53"/>
    </row>
    <row r="96" spans="1:61" ht="21.75" customHeight="1">
      <c r="A96" s="482"/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BI96" s="53"/>
    </row>
    <row r="97" spans="1:61" ht="21.75" customHeight="1">
      <c r="A97" s="482"/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  <c r="T97" s="482"/>
      <c r="U97" s="482"/>
      <c r="V97" s="482"/>
      <c r="W97" s="482"/>
      <c r="X97" s="482"/>
      <c r="Y97" s="482"/>
      <c r="Z97" s="482"/>
      <c r="AA97" s="482"/>
      <c r="AB97" s="482"/>
      <c r="AC97" s="482"/>
      <c r="AD97" s="482"/>
      <c r="AE97" s="482"/>
      <c r="AF97" s="482"/>
      <c r="AG97" s="482"/>
      <c r="AH97" s="482"/>
      <c r="AI97" s="482"/>
      <c r="AJ97" s="482"/>
      <c r="AK97" s="482"/>
      <c r="AL97" s="482"/>
      <c r="AM97" s="482"/>
      <c r="AN97" s="482"/>
      <c r="AO97" s="482"/>
      <c r="BI97" s="53"/>
    </row>
    <row r="98" spans="1:61" ht="21.75" customHeight="1">
      <c r="A98" s="482"/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BI98" s="53"/>
    </row>
    <row r="99" spans="1:61" ht="21.75" customHeight="1">
      <c r="A99" s="482"/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2"/>
      <c r="Q99" s="482"/>
      <c r="R99" s="482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BI99" s="53"/>
    </row>
    <row r="100" spans="1:61" ht="21.75" customHeight="1">
      <c r="A100" s="483"/>
      <c r="B100" s="483"/>
      <c r="C100" s="483"/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  <c r="AH100" s="483"/>
      <c r="AI100" s="483"/>
      <c r="AJ100" s="483"/>
      <c r="AK100" s="483"/>
      <c r="AL100" s="483"/>
      <c r="AM100" s="483"/>
      <c r="AN100" s="483"/>
      <c r="AO100" s="483"/>
      <c r="BI100" s="53"/>
    </row>
    <row r="101" spans="1:61" ht="21.75" customHeight="1">
      <c r="A101" s="483"/>
      <c r="B101" s="483"/>
      <c r="C101" s="483"/>
      <c r="D101" s="483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  <c r="Z101" s="483"/>
      <c r="AA101" s="483"/>
      <c r="AB101" s="483"/>
      <c r="AC101" s="483"/>
      <c r="AD101" s="483"/>
      <c r="AE101" s="483"/>
      <c r="AF101" s="483"/>
      <c r="AG101" s="483"/>
      <c r="AH101" s="483"/>
      <c r="AI101" s="483"/>
      <c r="AJ101" s="483"/>
      <c r="AK101" s="483"/>
      <c r="AL101" s="483"/>
      <c r="AM101" s="483"/>
      <c r="AN101" s="483"/>
      <c r="AO101" s="483"/>
      <c r="BI101" s="53"/>
    </row>
    <row r="102" spans="1:61" ht="21.75" customHeight="1">
      <c r="A102" s="479">
        <f>IF(N6="","",IF(A13+A21+A29+A44+E54+E66+B82+AB91=0,"","PLEASE FILLOUT ENTIRE SPECIFICATION SHEET"))</f>
      </c>
      <c r="B102" s="479"/>
      <c r="C102" s="479"/>
      <c r="D102" s="479"/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79"/>
      <c r="X102" s="479"/>
      <c r="Y102" s="479"/>
      <c r="Z102" s="479"/>
      <c r="AA102" s="479"/>
      <c r="AB102" s="479"/>
      <c r="AC102" s="479"/>
      <c r="AD102" s="479"/>
      <c r="AE102" s="479"/>
      <c r="AF102" s="479"/>
      <c r="AG102" s="479"/>
      <c r="AH102" s="479"/>
      <c r="AI102" s="479"/>
      <c r="AJ102" s="479"/>
      <c r="AK102" s="479"/>
      <c r="AL102" s="479"/>
      <c r="AM102" s="479"/>
      <c r="AN102" s="479"/>
      <c r="AO102" s="479"/>
      <c r="BI102" s="53"/>
    </row>
    <row r="103" spans="1:61" ht="21.75" customHeight="1">
      <c r="A103" s="480"/>
      <c r="B103" s="479"/>
      <c r="C103" s="479"/>
      <c r="D103" s="479"/>
      <c r="E103" s="479"/>
      <c r="F103" s="479"/>
      <c r="G103" s="479"/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79"/>
      <c r="X103" s="479"/>
      <c r="Y103" s="479"/>
      <c r="Z103" s="479"/>
      <c r="AA103" s="479"/>
      <c r="AB103" s="479"/>
      <c r="AC103" s="479"/>
      <c r="AD103" s="479"/>
      <c r="AE103" s="479"/>
      <c r="AF103" s="479"/>
      <c r="AG103" s="479"/>
      <c r="AH103" s="479"/>
      <c r="AI103" s="479"/>
      <c r="AJ103" s="479"/>
      <c r="AK103" s="479"/>
      <c r="AL103" s="479"/>
      <c r="AM103" s="479"/>
      <c r="AN103" s="479"/>
      <c r="AO103" s="479"/>
      <c r="BI103" s="53"/>
    </row>
    <row r="104" spans="1:61" ht="18" customHeight="1">
      <c r="A104" s="433"/>
      <c r="B104" s="433"/>
      <c r="C104" s="433"/>
      <c r="D104" s="433"/>
      <c r="E104" s="433"/>
      <c r="F104" s="433"/>
      <c r="G104" s="433"/>
      <c r="H104" s="433"/>
      <c r="I104" s="433"/>
      <c r="J104" s="433"/>
      <c r="K104" s="55"/>
      <c r="L104" s="55"/>
      <c r="M104" s="400"/>
      <c r="N104" s="405"/>
      <c r="O104" s="405"/>
      <c r="P104" s="405"/>
      <c r="Q104" s="405"/>
      <c r="R104" s="405"/>
      <c r="S104" s="405"/>
      <c r="T104" s="405"/>
      <c r="U104" s="405"/>
      <c r="V104" s="405"/>
      <c r="W104" s="55"/>
      <c r="X104" s="55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  <c r="AJ104" s="55"/>
      <c r="AK104" s="400"/>
      <c r="AL104" s="400"/>
      <c r="AM104" s="400"/>
      <c r="AN104" s="400"/>
      <c r="AO104" s="405"/>
      <c r="BI104" s="53"/>
    </row>
    <row r="105" spans="1:41" ht="14.25">
      <c r="A105" s="438" t="s">
        <v>29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50"/>
      <c r="L105" s="50"/>
      <c r="M105" s="438" t="s">
        <v>30</v>
      </c>
      <c r="N105" s="448"/>
      <c r="O105" s="448"/>
      <c r="P105" s="448"/>
      <c r="Q105" s="448"/>
      <c r="R105" s="448"/>
      <c r="S105" s="448"/>
      <c r="T105" s="448"/>
      <c r="U105" s="439"/>
      <c r="V105" s="439"/>
      <c r="W105" s="50"/>
      <c r="X105" s="50"/>
      <c r="Y105" s="438" t="s">
        <v>31</v>
      </c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50"/>
      <c r="AJ105" s="50"/>
      <c r="AK105" s="432" t="s">
        <v>0</v>
      </c>
      <c r="AL105" s="432"/>
      <c r="AM105" s="432"/>
      <c r="AN105" s="426"/>
      <c r="AO105" s="415"/>
    </row>
  </sheetData>
  <sheetProtection password="C18A" sheet="1" objects="1" scenarios="1" selectLockedCells="1"/>
  <protectedRanges>
    <protectedRange sqref="B56:B57 U58:X58 K58 L59 O60 L61 P61:S61 U61 X60:X61 M62 J63 A64:A67 A83 L83 P83:S83 W83 V56" name="BOTTOM"/>
    <protectedRange sqref="T27:T29 X28:X29 I30 E33:I34 K27 E36:I36 U36 B39:B40 L41 E42:I43 U42:U43 X49 X52 T46 D48 K44:K46 O45:O46 X45:X46 R44:R45 U54 S49:S53 U45:U46 P48:R48 N27:N29 U33:U34 C27:C29 I49:I53 E30:G31 H31:I31" name="MIDDLE"/>
    <protectedRange sqref="B4 M4 T4 X4 A6:A8 P6:S8 C9:C10 T9:T10 W9:W10 M11 L12 C13 E14:I14 C15 E16:I16 J17 L18 M19:M20 U13:U18 K22 W23 Q22 X22 V22 H24 E22:H22 D21 T24 C25:C26 T23:U23 S25:S26 C22 J23" name="TOP"/>
  </protectedRanges>
  <mergeCells count="259">
    <mergeCell ref="A91:AA91"/>
    <mergeCell ref="A102:AO103"/>
    <mergeCell ref="A92:AO101"/>
    <mergeCell ref="AI86:AJ86"/>
    <mergeCell ref="H88:AO88"/>
    <mergeCell ref="K86:Y86"/>
    <mergeCell ref="AD86:AE86"/>
    <mergeCell ref="Z86:AC86"/>
    <mergeCell ref="A86:J86"/>
    <mergeCell ref="W68:Y68"/>
    <mergeCell ref="G79:AO79"/>
    <mergeCell ref="AA74:AO74"/>
    <mergeCell ref="W74:Z74"/>
    <mergeCell ref="AC70:AO70"/>
    <mergeCell ref="Q74:S74"/>
    <mergeCell ref="W70:AB70"/>
    <mergeCell ref="I53:O53"/>
    <mergeCell ref="I52:O52"/>
    <mergeCell ref="W63:Y63"/>
    <mergeCell ref="P20:S20"/>
    <mergeCell ref="A11:S11"/>
    <mergeCell ref="Q61:AL61"/>
    <mergeCell ref="AC60:AE60"/>
    <mergeCell ref="N61:P61"/>
    <mergeCell ref="W38:AA38"/>
    <mergeCell ref="AG64:AL64"/>
    <mergeCell ref="AC64:AE64"/>
    <mergeCell ref="W64:AB64"/>
    <mergeCell ref="W60:AB60"/>
    <mergeCell ref="Z63:AB63"/>
    <mergeCell ref="AG60:AL60"/>
    <mergeCell ref="J71:N71"/>
    <mergeCell ref="A79:F79"/>
    <mergeCell ref="J74:L74"/>
    <mergeCell ref="A78:I78"/>
    <mergeCell ref="N64:P64"/>
    <mergeCell ref="A71:C71"/>
    <mergeCell ref="A76:E76"/>
    <mergeCell ref="K68:N68"/>
    <mergeCell ref="O72:Q72"/>
    <mergeCell ref="N65:P65"/>
    <mergeCell ref="AB27:AC27"/>
    <mergeCell ref="G48:N48"/>
    <mergeCell ref="W52:AA52"/>
    <mergeCell ref="AB52:AD52"/>
    <mergeCell ref="D51:G51"/>
    <mergeCell ref="A49:F49"/>
    <mergeCell ref="A41:F41"/>
    <mergeCell ref="AB42:AO42"/>
    <mergeCell ref="A27:D27"/>
    <mergeCell ref="D31:F31"/>
    <mergeCell ref="H26:M26"/>
    <mergeCell ref="A19:H19"/>
    <mergeCell ref="A20:O20"/>
    <mergeCell ref="G23:S23"/>
    <mergeCell ref="I19:L19"/>
    <mergeCell ref="A23:F23"/>
    <mergeCell ref="A24:F24"/>
    <mergeCell ref="O24:S24"/>
    <mergeCell ref="AC26:AJ26"/>
    <mergeCell ref="AK37:AO37"/>
    <mergeCell ref="G37:M37"/>
    <mergeCell ref="AJ25:AM25"/>
    <mergeCell ref="E27:M27"/>
    <mergeCell ref="A26:G26"/>
    <mergeCell ref="W26:AB26"/>
    <mergeCell ref="P31:R31"/>
    <mergeCell ref="W31:AA31"/>
    <mergeCell ref="AB31:AO31"/>
    <mergeCell ref="A28:C28"/>
    <mergeCell ref="E35:AL35"/>
    <mergeCell ref="E28:J28"/>
    <mergeCell ref="A32:F32"/>
    <mergeCell ref="G32:H32"/>
    <mergeCell ref="J33:N33"/>
    <mergeCell ref="A33:B33"/>
    <mergeCell ref="D33:I33"/>
    <mergeCell ref="R33:S33"/>
    <mergeCell ref="AF33:AJ33"/>
    <mergeCell ref="AD49:AO49"/>
    <mergeCell ref="AE41:AK41"/>
    <mergeCell ref="AE37:AJ37"/>
    <mergeCell ref="W37:AD37"/>
    <mergeCell ref="AD48:AK48"/>
    <mergeCell ref="W48:AC48"/>
    <mergeCell ref="W41:AD41"/>
    <mergeCell ref="W42:AA42"/>
    <mergeCell ref="W49:AC49"/>
    <mergeCell ref="AG85:AK85"/>
    <mergeCell ref="AL85:AN85"/>
    <mergeCell ref="A10:S10"/>
    <mergeCell ref="A7:Q7"/>
    <mergeCell ref="AD19:AO19"/>
    <mergeCell ref="AN24:AO24"/>
    <mergeCell ref="W19:AC19"/>
    <mergeCell ref="AG24:AI24"/>
    <mergeCell ref="AK24:AM24"/>
    <mergeCell ref="W20:AG20"/>
    <mergeCell ref="AA24:AC24"/>
    <mergeCell ref="AD24:AF24"/>
    <mergeCell ref="Q85:AD85"/>
    <mergeCell ref="AB38:AO38"/>
    <mergeCell ref="W53:AA53"/>
    <mergeCell ref="AJ77:AL77"/>
    <mergeCell ref="AM77:AO77"/>
    <mergeCell ref="AJ78:AL78"/>
    <mergeCell ref="Z58:AB58"/>
    <mergeCell ref="Z68:AF68"/>
    <mergeCell ref="AB43:AG43"/>
    <mergeCell ref="W43:AA43"/>
    <mergeCell ref="AL63:AM63"/>
    <mergeCell ref="AL59:AM59"/>
    <mergeCell ref="Z59:AB59"/>
    <mergeCell ref="AB53:AD53"/>
    <mergeCell ref="AC58:AP58"/>
    <mergeCell ref="AH63:AK63"/>
    <mergeCell ref="AM60:AO60"/>
    <mergeCell ref="M104:V104"/>
    <mergeCell ref="Y104:AH104"/>
    <mergeCell ref="AN86:AO86"/>
    <mergeCell ref="D74:I74"/>
    <mergeCell ref="W77:Z77"/>
    <mergeCell ref="AA77:AC77"/>
    <mergeCell ref="A89:AO90"/>
    <mergeCell ref="F76:I76"/>
    <mergeCell ref="AH78:AI78"/>
    <mergeCell ref="AF86:AH86"/>
    <mergeCell ref="A85:J85"/>
    <mergeCell ref="M74:P74"/>
    <mergeCell ref="K85:P85"/>
    <mergeCell ref="J78:K78"/>
    <mergeCell ref="A84:D84"/>
    <mergeCell ref="A74:C74"/>
    <mergeCell ref="E84:H84"/>
    <mergeCell ref="A80:AO81"/>
    <mergeCell ref="A51:C51"/>
    <mergeCell ref="G42:S42"/>
    <mergeCell ref="A42:F42"/>
    <mergeCell ref="G41:N41"/>
    <mergeCell ref="C43:E43"/>
    <mergeCell ref="A47:J47"/>
    <mergeCell ref="K47:N47"/>
    <mergeCell ref="A105:J105"/>
    <mergeCell ref="M105:V105"/>
    <mergeCell ref="A34:F34"/>
    <mergeCell ref="R71:S71"/>
    <mergeCell ref="A104:J104"/>
    <mergeCell ref="G43:L43"/>
    <mergeCell ref="A38:E38"/>
    <mergeCell ref="A72:D72"/>
    <mergeCell ref="E72:I72"/>
    <mergeCell ref="C52:H52"/>
    <mergeCell ref="Y105:AH105"/>
    <mergeCell ref="Y15:AH15"/>
    <mergeCell ref="AI15:AO15"/>
    <mergeCell ref="W16:Z16"/>
    <mergeCell ref="AK105:AO105"/>
    <mergeCell ref="AK104:AO104"/>
    <mergeCell ref="AH20:AO20"/>
    <mergeCell ref="R65:AM65"/>
    <mergeCell ref="G49:S49"/>
    <mergeCell ref="AM64:AO64"/>
    <mergeCell ref="AA6:AD6"/>
    <mergeCell ref="AM6:AO6"/>
    <mergeCell ref="AE6:AG6"/>
    <mergeCell ref="AH6:AL6"/>
    <mergeCell ref="Y12:AB12"/>
    <mergeCell ref="W8:AO8"/>
    <mergeCell ref="W9:AO9"/>
    <mergeCell ref="W10:AO10"/>
    <mergeCell ref="W6:Z6"/>
    <mergeCell ref="A15:J15"/>
    <mergeCell ref="R15:X15"/>
    <mergeCell ref="A16:D16"/>
    <mergeCell ref="E12:S12"/>
    <mergeCell ref="K15:Q15"/>
    <mergeCell ref="W11:AO11"/>
    <mergeCell ref="AI12:AO12"/>
    <mergeCell ref="C6:F6"/>
    <mergeCell ref="A9:S9"/>
    <mergeCell ref="R7:V7"/>
    <mergeCell ref="H6:M6"/>
    <mergeCell ref="A6:B6"/>
    <mergeCell ref="A8:S8"/>
    <mergeCell ref="N6:Q6"/>
    <mergeCell ref="R6:V6"/>
    <mergeCell ref="D53:H53"/>
    <mergeCell ref="O71:P71"/>
    <mergeCell ref="A58:E58"/>
    <mergeCell ref="F58:I58"/>
    <mergeCell ref="H59:P59"/>
    <mergeCell ref="A59:E59"/>
    <mergeCell ref="K70:M70"/>
    <mergeCell ref="A70:C70"/>
    <mergeCell ref="N60:P60"/>
    <mergeCell ref="A57:C57"/>
    <mergeCell ref="W71:AB71"/>
    <mergeCell ref="G77:I77"/>
    <mergeCell ref="A62:F62"/>
    <mergeCell ref="G62:J62"/>
    <mergeCell ref="H63:P63"/>
    <mergeCell ref="A77:F77"/>
    <mergeCell ref="D70:F70"/>
    <mergeCell ref="K72:N72"/>
    <mergeCell ref="A68:J68"/>
    <mergeCell ref="A64:M64"/>
    <mergeCell ref="W28:AA28"/>
    <mergeCell ref="AB28:AO28"/>
    <mergeCell ref="W34:AB34"/>
    <mergeCell ref="AC34:AO34"/>
    <mergeCell ref="AK33:AL33"/>
    <mergeCell ref="AN33:AO33"/>
    <mergeCell ref="Z33:AE33"/>
    <mergeCell ref="W33:Y33"/>
    <mergeCell ref="K32:AO32"/>
    <mergeCell ref="G34:N34"/>
    <mergeCell ref="AD77:AF77"/>
    <mergeCell ref="AG77:AI77"/>
    <mergeCell ref="G70:H70"/>
    <mergeCell ref="F57:I57"/>
    <mergeCell ref="N70:S70"/>
    <mergeCell ref="D71:I71"/>
    <mergeCell ref="A65:M65"/>
    <mergeCell ref="A60:M60"/>
    <mergeCell ref="A61:M61"/>
    <mergeCell ref="AC71:AO71"/>
    <mergeCell ref="G38:S38"/>
    <mergeCell ref="O33:P33"/>
    <mergeCell ref="F18:H18"/>
    <mergeCell ref="I25:M25"/>
    <mergeCell ref="A25:H25"/>
    <mergeCell ref="Q25:S25"/>
    <mergeCell ref="G24:M24"/>
    <mergeCell ref="A37:F37"/>
    <mergeCell ref="N37:S37"/>
    <mergeCell ref="J31:L31"/>
    <mergeCell ref="AF16:AL16"/>
    <mergeCell ref="AM17:AN17"/>
    <mergeCell ref="AA16:AC16"/>
    <mergeCell ref="W17:AB17"/>
    <mergeCell ref="AM16:AN16"/>
    <mergeCell ref="AC17:AD17"/>
    <mergeCell ref="F17:H17"/>
    <mergeCell ref="E16:S16"/>
    <mergeCell ref="A17:E17"/>
    <mergeCell ref="A18:E18"/>
    <mergeCell ref="P18:R18"/>
    <mergeCell ref="P17:R17"/>
    <mergeCell ref="K18:O18"/>
    <mergeCell ref="W18:Z18"/>
    <mergeCell ref="AL1:AO1"/>
    <mergeCell ref="AM2:AN2"/>
    <mergeCell ref="H4:AH4"/>
    <mergeCell ref="AG18:AK18"/>
    <mergeCell ref="AG17:AL17"/>
    <mergeCell ref="AL18:AO18"/>
    <mergeCell ref="A2:AL3"/>
    <mergeCell ref="AA18:AD18"/>
    <mergeCell ref="K17:O17"/>
  </mergeCells>
  <conditionalFormatting sqref="A24:B24 AF27 AF30">
    <cfRule type="expression" priority="1" dxfId="188" stopIfTrue="1">
      <formula>"c19=""Mechanical"""</formula>
    </cfRule>
  </conditionalFormatting>
  <conditionalFormatting sqref="N24">
    <cfRule type="expression" priority="2" dxfId="0" stopIfTrue="1">
      <formula>IF(AND($F$23="ELECTRO-MECHANIC",NOT($O$24="")),TRUE,FALSE)</formula>
    </cfRule>
  </conditionalFormatting>
  <conditionalFormatting sqref="U30 U27:U28">
    <cfRule type="expression" priority="3" dxfId="0" stopIfTrue="1">
      <formula>IF($G$23="",TRUE,FALSE)</formula>
    </cfRule>
  </conditionalFormatting>
  <conditionalFormatting sqref="O41:S41 Q39:S39 T38:U38">
    <cfRule type="expression" priority="4" dxfId="19" stopIfTrue="1">
      <formula>IF(OR($G$37="OTHER",$G$37=""),FALSE,TRUE)</formula>
    </cfRule>
  </conditionalFormatting>
  <conditionalFormatting sqref="S50 C50:H50">
    <cfRule type="expression" priority="5" dxfId="19" stopIfTrue="1">
      <formula>IF(OR($G$48="",$G$48="OTHER"),FALSE,TRUE)</formula>
    </cfRule>
  </conditionalFormatting>
  <conditionalFormatting sqref="A42:E42 T42:U42">
    <cfRule type="expression" priority="6" dxfId="19" stopIfTrue="1">
      <formula>IF(OR($G$41="",$G$41="OTHER"),FALSE,TRUE)</formula>
    </cfRule>
  </conditionalFormatting>
  <conditionalFormatting sqref="Z50:AO50">
    <cfRule type="expression" priority="7" dxfId="19" stopIfTrue="1">
      <formula>IF(OR($AD$48="",$AD$48="OTHER"),FALSE,TRUE)</formula>
    </cfRule>
  </conditionalFormatting>
  <conditionalFormatting sqref="AL48:AO48 T48:V49 W48:AC48 A48:F48 O48:S48">
    <cfRule type="expression" priority="8" dxfId="19" stopIfTrue="1">
      <formula>IF($K$47="NO",TRUE,FALSE)</formula>
    </cfRule>
  </conditionalFormatting>
  <conditionalFormatting sqref="AL41:AO41 W38">
    <cfRule type="expression" priority="9" dxfId="19" stopIfTrue="1">
      <formula>IF(OR($AE$37="OTHER",$AE$37=""),FALSE,TRUE)</formula>
    </cfRule>
  </conditionalFormatting>
  <conditionalFormatting sqref="W28">
    <cfRule type="expression" priority="10" dxfId="19" stopIfTrue="1">
      <formula>IF(OR($E$28="",$E$28="OTHER"),FALSE,TRUE)</formula>
    </cfRule>
  </conditionalFormatting>
  <conditionalFormatting sqref="A59:G59 AC58:AP58 A62:E63 J58:Y58 F62">
    <cfRule type="expression" priority="11" dxfId="19" stopIfTrue="1">
      <formula>IF($F$57="NO",TRUE,FALSE)</formula>
    </cfRule>
  </conditionalFormatting>
  <conditionalFormatting sqref="Y55:Y56">
    <cfRule type="expression" priority="12" dxfId="170" stopIfTrue="1">
      <formula>IF($I$52="NONE",TRUE,FALSE)</formula>
    </cfRule>
  </conditionalFormatting>
  <conditionalFormatting sqref="W52:AA52 AE52">
    <cfRule type="expression" priority="13" dxfId="19" stopIfTrue="1">
      <formula>IF(OR($I$52="NONE",$D$51="NO"),TRUE,FALSE)</formula>
    </cfRule>
  </conditionalFormatting>
  <conditionalFormatting sqref="W53:AA53 AE53">
    <cfRule type="expression" priority="14" dxfId="19" stopIfTrue="1">
      <formula>IF(OR($I$53="NONE",$D$51="NO"),TRUE,FALSE)</formula>
    </cfRule>
  </conditionalFormatting>
  <conditionalFormatting sqref="D53:H53">
    <cfRule type="expression" priority="15" dxfId="19" stopIfTrue="1">
      <formula>IF($D$51="NO",TRUE,FALSE)</formula>
    </cfRule>
  </conditionalFormatting>
  <conditionalFormatting sqref="AF59:AF60 AC59:AE59 AN59:AO59 AG59">
    <cfRule type="expression" priority="16" dxfId="19" stopIfTrue="1">
      <formula>IF(OR($H$59="PERFORATED PLATE",$H$59="ROD",$H$59="N/A"),TRUE,FALSE)</formula>
    </cfRule>
  </conditionalFormatting>
  <conditionalFormatting sqref="R60:S60 Q60:Q61">
    <cfRule type="expression" priority="17" dxfId="19" stopIfTrue="1">
      <formula>IF(OR($H$59="MG",$H$59="TBC",$H$59="N/A"),TRUE,FALSE)</formula>
    </cfRule>
  </conditionalFormatting>
  <conditionalFormatting sqref="AR53:AR56">
    <cfRule type="expression" priority="18" dxfId="170" stopIfTrue="1">
      <formula>IF(I59="NONE",TRUE,FALSE)</formula>
    </cfRule>
  </conditionalFormatting>
  <conditionalFormatting sqref="A38:E38">
    <cfRule type="expression" priority="19" dxfId="19" stopIfTrue="1">
      <formula>IF(OR($G$37="",$G$37="OTHER"),FALSE,TRUE)</formula>
    </cfRule>
  </conditionalFormatting>
  <conditionalFormatting sqref="W42:AA42">
    <cfRule type="expression" priority="20" dxfId="19" stopIfTrue="1">
      <formula>IF(OR($AE$41="",$AE$41="OTHER"),FALSE,TRUE)</formula>
    </cfRule>
  </conditionalFormatting>
  <conditionalFormatting sqref="F63:G63">
    <cfRule type="expression" priority="21" dxfId="19" stopIfTrue="1">
      <formula>IF(OR($F$57="NO",$G$62="NO"),TRUE,FALSE)</formula>
    </cfRule>
  </conditionalFormatting>
  <conditionalFormatting sqref="AC62:AG63 AN62:AO63">
    <cfRule type="expression" priority="22" dxfId="19" stopIfTrue="1">
      <formula>IF(OR($H$63="PERFORATED PLATE",$H$63="ROD",$H$63="N/A"),TRUE,FALSE)</formula>
    </cfRule>
  </conditionalFormatting>
  <conditionalFormatting sqref="E67 J67:N67">
    <cfRule type="expression" priority="23" dxfId="19" stopIfTrue="1">
      <formula>IF(OR($H$63="MG",$H$63="TBC",$H$63="N/A"),TRUE,FALSE)</formula>
    </cfRule>
  </conditionalFormatting>
  <conditionalFormatting sqref="AI59:AK59 Y59">
    <cfRule type="expression" priority="24" dxfId="19" stopIfTrue="1">
      <formula>IF(OR($H$59="PERFORATED PLATE",$H$59="ROD",$F$57="NO"),TRUE,FALSE)</formula>
    </cfRule>
  </conditionalFormatting>
  <conditionalFormatting sqref="A58:E58">
    <cfRule type="expression" priority="25" dxfId="19" stopIfTrue="1">
      <formula>IF(F57="NO",TRUE,FALSE)</formula>
    </cfRule>
  </conditionalFormatting>
  <conditionalFormatting sqref="C43:F43">
    <cfRule type="expression" priority="26" dxfId="19" stopIfTrue="1">
      <formula>IF(OR($G$41="",$G$41="PAINT"),FALSE,TRUE)</formula>
    </cfRule>
  </conditionalFormatting>
  <conditionalFormatting sqref="W43:AA43">
    <cfRule type="expression" priority="27" dxfId="19" stopIfTrue="1">
      <formula>IF(OR($AE$41="",$AE$41="PAINT"),FALSE,TRUE)</formula>
    </cfRule>
  </conditionalFormatting>
  <conditionalFormatting sqref="A49:F49">
    <cfRule type="expression" priority="28" dxfId="19" stopIfTrue="1">
      <formula>IF($K$47="NO",TRUE,FALSE)</formula>
    </cfRule>
    <cfRule type="expression" priority="29" dxfId="19" stopIfTrue="1">
      <formula>IF(OR($G$48="",$G$48="OTHER"),FALSE,TRUE)</formula>
    </cfRule>
  </conditionalFormatting>
  <conditionalFormatting sqref="W49:AC49">
    <cfRule type="expression" priority="30" dxfId="19" stopIfTrue="1">
      <formula>IF($K$47="NO",TRUE,FALSE)</formula>
    </cfRule>
    <cfRule type="expression" priority="31" dxfId="19" stopIfTrue="1">
      <formula>IF(OR($AD$48="",$AD$48="OTHER"),FALSE,TRUE)</formula>
    </cfRule>
  </conditionalFormatting>
  <conditionalFormatting sqref="T77:V77 L78:V78 J77:O77 T70:V72 AM78:AO78 AG78 M74:P74 A71:C71 J72:N72 A79:AO79 A76:E76 A72:D72 A74:I74 A70:F70 I70:M70">
    <cfRule type="expression" priority="32" dxfId="19" stopIfTrue="1">
      <formula>IF($K$68="NO",TRUE,FALSE)</formula>
    </cfRule>
  </conditionalFormatting>
  <conditionalFormatting sqref="W68:Y68">
    <cfRule type="expression" priority="33" dxfId="19" stopIfTrue="1">
      <formula>IF($K$68="NO",TRUE,FALSE)</formula>
    </cfRule>
    <cfRule type="expression" priority="34" dxfId="19" stopIfTrue="1">
      <formula>IF($F$77="NO",TRUE,FALSE)</formula>
    </cfRule>
  </conditionalFormatting>
  <conditionalFormatting sqref="H88:AO88">
    <cfRule type="expression" priority="35" dxfId="19" stopIfTrue="1">
      <formula>IF(AND($AA$77="",$AG$77="",$AM$77=""),TRUE,FALSE)</formula>
    </cfRule>
  </conditionalFormatting>
  <conditionalFormatting sqref="W19:AC19">
    <cfRule type="expression" priority="36" dxfId="19" stopIfTrue="1">
      <formula>IF($I$19="NO",TRUE,FALSE)</formula>
    </cfRule>
  </conditionalFormatting>
  <conditionalFormatting sqref="W20:AD20">
    <cfRule type="expression" priority="37" dxfId="19" stopIfTrue="1">
      <formula>IF($P$20="NO",TRUE,FALSE)</formula>
    </cfRule>
  </conditionalFormatting>
  <conditionalFormatting sqref="AM35:AO35">
    <cfRule type="expression" priority="38" dxfId="19" stopIfTrue="1">
      <formula>IF(OR($G$34="",$G$34="OTHER"),FALSE,TRUE)</formula>
    </cfRule>
  </conditionalFormatting>
  <conditionalFormatting sqref="Q33">
    <cfRule type="expression" priority="39" dxfId="19" stopIfTrue="1">
      <formula>IF(OR($D$33="",$D$33="N/A"),TRUE,FALSE)</formula>
    </cfRule>
    <cfRule type="expression" priority="40" dxfId="0" stopIfTrue="1">
      <formula>IF($D$33="RECTANGULAR",FALSE,TRUE)</formula>
    </cfRule>
  </conditionalFormatting>
  <conditionalFormatting sqref="AM33">
    <cfRule type="expression" priority="41" dxfId="19" stopIfTrue="1">
      <formula>IF(OR($Z$33="",$Z$33="N/A",$Z$33="OFF END",$Z$33="RIGHT HAND",$Z$33="LEFT HAND"),TRUE,FALSE)</formula>
    </cfRule>
    <cfRule type="expression" priority="42" dxfId="0" stopIfTrue="1">
      <formula>IF($Z$33="RECTANGULAR",FALSE,TRUE)</formula>
    </cfRule>
  </conditionalFormatting>
  <conditionalFormatting sqref="A60:M61">
    <cfRule type="expression" priority="43" dxfId="19" stopIfTrue="1">
      <formula>IF(OR($H$59="TENSILE BOLTING",$H$59="MARKET GRADE",$F$57="NO"),TRUE,FALSE)</formula>
    </cfRule>
  </conditionalFormatting>
  <conditionalFormatting sqref="W59:X59">
    <cfRule type="expression" priority="44" dxfId="19" stopIfTrue="1">
      <formula>IF(OR($H$59="PERFORATED PLATE",$H$59="ROD",$H$59="WEDGE WIRE",$F$57="NO"),TRUE,FALSE)</formula>
    </cfRule>
  </conditionalFormatting>
  <conditionalFormatting sqref="AG60:AL60 AH59 W60:AB60">
    <cfRule type="expression" priority="45" dxfId="19" stopIfTrue="1">
      <formula>IF(OR($H$59="WEDGE WIRE",$H$59="PERFORATED PLATE",$H$59="ROD",$F$57="NO"),TRUE,FALSE)</formula>
    </cfRule>
  </conditionalFormatting>
  <conditionalFormatting sqref="W70:AB70">
    <cfRule type="expression" priority="46" dxfId="19" stopIfTrue="1">
      <formula>IF(OR($N$70="",$N$70="OTHER"),FALSE,TRUE)</formula>
    </cfRule>
    <cfRule type="expression" priority="47" dxfId="19" stopIfTrue="1">
      <formula>IF($K$68="NO",TRUE,FALSE)</formula>
    </cfRule>
  </conditionalFormatting>
  <conditionalFormatting sqref="Q71">
    <cfRule type="expression" priority="48" dxfId="19" stopIfTrue="1">
      <formula>IF(OR($D$71="",$D$71="OTHER"),TRUE,FALSE)</formula>
    </cfRule>
    <cfRule type="expression" priority="49" dxfId="0" stopIfTrue="1">
      <formula>IF($D$71="RECTANGULAR",FALSE,TRUE)</formula>
    </cfRule>
    <cfRule type="expression" priority="50" dxfId="19" stopIfTrue="1">
      <formula>IF($K$68="NO",TRUE,FALSE)</formula>
    </cfRule>
  </conditionalFormatting>
  <conditionalFormatting sqref="A64:M65">
    <cfRule type="expression" priority="51" dxfId="19" stopIfTrue="1">
      <formula>IF(OR($G$62="NO",$F$57="NO",$H$63="TENSILE BOLTING",$H$63="MARKET GRADE"),TRUE,FALSE)</formula>
    </cfRule>
  </conditionalFormatting>
  <conditionalFormatting sqref="W63:Y63">
    <cfRule type="expression" priority="52" dxfId="19" stopIfTrue="1">
      <formula>IF(OR($H$63="WEDGE WIRE",$H$63="PERFORATED PLATE",$H$63="ROD",$H$63="N/A",$F$57="NO",$G$62="NO"),TRUE,FALSE)</formula>
    </cfRule>
  </conditionalFormatting>
  <conditionalFormatting sqref="AG64:AL64 AH63:AK63 W64:AB64">
    <cfRule type="expression" priority="53" dxfId="19" stopIfTrue="1">
      <formula>IF(OR($H$63="WEDGE WIRE",$H$63="PERFORATED PLATE",$H$63="ROD",$F$57="NO",$G$62="NO"),TRUE,FALSE)</formula>
    </cfRule>
  </conditionalFormatting>
  <conditionalFormatting sqref="W71:AB71">
    <cfRule type="expression" priority="54" dxfId="19" stopIfTrue="1">
      <formula>IF(OR($D$71="OTHER",$D$71=""),FALSE,TRUE)</formula>
    </cfRule>
    <cfRule type="expression" priority="55" dxfId="19" stopIfTrue="1">
      <formula>IF($K$68="NO",TRUE,FALSE)</formula>
    </cfRule>
  </conditionalFormatting>
  <conditionalFormatting sqref="W74:Z74">
    <cfRule type="expression" priority="56" dxfId="132" stopIfTrue="1">
      <formula>IF(OR($J$74="",$J$74="OTHER",$Q$74="OTHER"),FALSE,TRUE)</formula>
    </cfRule>
    <cfRule type="expression" priority="57" dxfId="19" stopIfTrue="1">
      <formula>IF($K$68="NO",TRUE,FALSE)</formula>
    </cfRule>
  </conditionalFormatting>
  <conditionalFormatting sqref="K32:AO32">
    <cfRule type="expression" priority="58" dxfId="19" stopIfTrue="1">
      <formula>IF($P$31="",TRUE,FALSE)</formula>
    </cfRule>
  </conditionalFormatting>
  <conditionalFormatting sqref="AG85:AK85 A85:J86 AK86:AM86 Z86:AC86 AF86:AH86">
    <cfRule type="expression" priority="59" dxfId="19" stopIfTrue="1">
      <formula>IF($E$84="NO",TRUE,FALSE)</formula>
    </cfRule>
  </conditionalFormatting>
  <conditionalFormatting sqref="C52:H52">
    <cfRule type="expression" priority="60" dxfId="19" stopIfTrue="1">
      <formula>IF($D$51="NO",TRUE,FALSE)</formula>
    </cfRule>
  </conditionalFormatting>
  <conditionalFormatting sqref="A77:F77">
    <cfRule type="expression" priority="61" dxfId="19" stopIfTrue="1">
      <formula>IF($F$76="NO",TRUE,FALSE)</formula>
    </cfRule>
    <cfRule type="expression" priority="62" dxfId="19" stopIfTrue="1">
      <formula>IF($K$68="NO",TRUE,FALSE)</formula>
    </cfRule>
  </conditionalFormatting>
  <conditionalFormatting sqref="AH78:AI78 AJ77:AL77 W77:Z77 AD77:AF77 A78:I78">
    <cfRule type="expression" priority="63" dxfId="19" stopIfTrue="1">
      <formula>IF($K$68="NO",TRUE,FALSE)</formula>
    </cfRule>
    <cfRule type="expression" priority="64" dxfId="19" stopIfTrue="1">
      <formula>IF($F$76="NO",TRUE,FALSE)</formula>
    </cfRule>
  </conditionalFormatting>
  <conditionalFormatting sqref="W6:Z6 R7:V7 A9:S11 W9:AO11 E12:S12 Y12:AB12 AI12:AO12 N6">
    <cfRule type="expression" priority="65" dxfId="18" stopIfTrue="1">
      <formula>IF($A$13=0,TRUE,FALSE)</formula>
    </cfRule>
  </conditionalFormatting>
  <conditionalFormatting sqref="R15:X15 AI15:AO15 E16:S16 AA16:AC16 AC17:AD17 AM16:AN17 F17:H18 P17:R18 AA18:AD18 AL18:AO18 I19:L19 P20:S20">
    <cfRule type="expression" priority="66" dxfId="18" stopIfTrue="1">
      <formula>IF($A$21=0,TRUE,FALSE)</formula>
    </cfRule>
  </conditionalFormatting>
  <conditionalFormatting sqref="AD19:AO19">
    <cfRule type="expression" priority="67" dxfId="19" stopIfTrue="1">
      <formula>IF($I$19="NO",TRUE,FALSE)</formula>
    </cfRule>
    <cfRule type="expression" priority="68" dxfId="18" stopIfTrue="1">
      <formula>IF($A$21=0,TRUE,FALSE)</formula>
    </cfRule>
  </conditionalFormatting>
  <conditionalFormatting sqref="AH20:AO20">
    <cfRule type="expression" priority="69" dxfId="19" stopIfTrue="1">
      <formula>IF($P$20="NO",TRUE,FALSE)</formula>
    </cfRule>
    <cfRule type="expression" priority="70" dxfId="18" stopIfTrue="1">
      <formula>IF($A$21=0,TRUE,FALSE)</formula>
    </cfRule>
  </conditionalFormatting>
  <conditionalFormatting sqref="G23:S23 AC26:AJ26 AJ25:AM25 I25:M25 H26:M26 E27:M27 O24:S24 AA24:AC24 AG24:AI24 AN24:AO24 AB27:AC27 E28:J28">
    <cfRule type="expression" priority="71" dxfId="18" stopIfTrue="1">
      <formula>IF($A$29=0,TRUE,FALSE)</formula>
    </cfRule>
  </conditionalFormatting>
  <conditionalFormatting sqref="G24:M24">
    <cfRule type="expression" priority="72" dxfId="0" stopIfTrue="1">
      <formula>IF(AND($G$23="ELECTRO-magnetic",NOT($O$24="")),TRUE,FALSE)</formula>
    </cfRule>
    <cfRule type="expression" priority="73" dxfId="18" stopIfTrue="1">
      <formula>IF($A$29=0,TRUE,FALSE)</formula>
    </cfRule>
  </conditionalFormatting>
  <conditionalFormatting sqref="AB28:AO28">
    <cfRule type="expression" priority="74" dxfId="19" stopIfTrue="1">
      <formula>IF(OR($E$28="",$E$28="OTHER"),FALSE,TRUE)</formula>
    </cfRule>
    <cfRule type="expression" priority="75" dxfId="18" stopIfTrue="1">
      <formula>IF($A$29=0,TRUE,FALSE)</formula>
    </cfRule>
  </conditionalFormatting>
  <conditionalFormatting sqref="Q25:S25">
    <cfRule type="expression" priority="76" dxfId="0" stopIfTrue="1">
      <formula>IF($G$23="",TRUE,FALSE)</formula>
    </cfRule>
    <cfRule type="expression" priority="77" dxfId="18" stopIfTrue="1">
      <formula>IF($A$29=0,TRUE,FALSE)</formula>
    </cfRule>
  </conditionalFormatting>
  <conditionalFormatting sqref="D31:F31 J31:L31 P31:R31 AB31:AO31 D33:I33 Z33:AE33 G34:N34 G41:N41 AE41:AK41 G37:S37 AE37:AO37">
    <cfRule type="expression" priority="78" dxfId="18" stopIfTrue="1">
      <formula>IF($A$44=0,TRUE,FALSE)</formula>
    </cfRule>
  </conditionalFormatting>
  <conditionalFormatting sqref="G32:H32">
    <cfRule type="expression" priority="79" dxfId="0" stopIfTrue="1">
      <formula>IF($D$31="",TRUE,FALSE)</formula>
    </cfRule>
    <cfRule type="expression" priority="80" dxfId="18" stopIfTrue="1">
      <formula>IF($A$44=0,TRUE,FALSE)</formula>
    </cfRule>
  </conditionalFormatting>
  <conditionalFormatting sqref="O33:P33 R33:S33">
    <cfRule type="expression" priority="81" dxfId="19" stopIfTrue="1">
      <formula>IF(OR($D$33="",$D$33="N/A"),TRUE,FALSE)</formula>
    </cfRule>
    <cfRule type="expression" priority="82" dxfId="18" stopIfTrue="1">
      <formula>IF($A$44=0,TRUE,FALSE)</formula>
    </cfRule>
  </conditionalFormatting>
  <conditionalFormatting sqref="AK33:AL33">
    <cfRule type="expression" priority="83" dxfId="19" stopIfTrue="1">
      <formula>IF(OR($Z$33="",$Z$33="N/A",$Z$33="OFF END",$Z$33="RIGHT HAND",$Z$33="LEFT HAND"),TRUE,FALSE)</formula>
    </cfRule>
    <cfRule type="expression" priority="84" dxfId="18" stopIfTrue="1">
      <formula>IF($A$44=0,TRUE,FALSE)</formula>
    </cfRule>
  </conditionalFormatting>
  <conditionalFormatting sqref="AN33:AO33">
    <cfRule type="expression" priority="85" dxfId="19" stopIfTrue="1">
      <formula>IF(OR($Z$33="",$Z$33="N/A",$Z$33="OFF END",$Z$33="RIGHT HAND",$Z$33="LEFT HAND"),TRUE,FALSE)</formula>
    </cfRule>
    <cfRule type="expression" priority="86" dxfId="18" stopIfTrue="1">
      <formula>IF($A$44=0,TRUE,FALSE)</formula>
    </cfRule>
  </conditionalFormatting>
  <conditionalFormatting sqref="AC34:AO34">
    <cfRule type="expression" priority="87" dxfId="19" stopIfTrue="1">
      <formula>IF(OR($G$34="",$G$34="OTHER"),FALSE,TRUE)</formula>
    </cfRule>
    <cfRule type="expression" priority="88" dxfId="18" stopIfTrue="1">
      <formula>IF($A$44=0,TRUE,FALSE)</formula>
    </cfRule>
  </conditionalFormatting>
  <conditionalFormatting sqref="G38:S38">
    <cfRule type="expression" priority="89" dxfId="19" stopIfTrue="1">
      <formula>IF(OR($G$37="OTHER",$G$37=""),FALSE,TRUE)</formula>
    </cfRule>
    <cfRule type="expression" priority="90" dxfId="18" stopIfTrue="1">
      <formula>IF($A$44=0,TRUE,FALSE)</formula>
    </cfRule>
  </conditionalFormatting>
  <conditionalFormatting sqref="AB38:AO38">
    <cfRule type="expression" priority="91" dxfId="19" stopIfTrue="1">
      <formula>IF(OR($AE$37="OTHER",$AE$37=""),FALSE,TRUE)</formula>
    </cfRule>
    <cfRule type="expression" priority="92" dxfId="18" stopIfTrue="1">
      <formula>IF($A$44=0,TRUE,FALSE)</formula>
    </cfRule>
  </conditionalFormatting>
  <conditionalFormatting sqref="G42:S42">
    <cfRule type="expression" priority="93" dxfId="19" stopIfTrue="1">
      <formula>IF(OR($G$41="",$G$41="OTHER"),FALSE,TRUE)</formula>
    </cfRule>
    <cfRule type="expression" priority="94" dxfId="18" stopIfTrue="1">
      <formula>IF($A$44=0,TRUE,FALSE)</formula>
    </cfRule>
  </conditionalFormatting>
  <conditionalFormatting sqref="AB42:AO42">
    <cfRule type="expression" priority="95" dxfId="19" stopIfTrue="1">
      <formula>IF(OR($AE$41="",$AE$41="OTHER"),FALSE,TRUE)</formula>
    </cfRule>
    <cfRule type="expression" priority="96" dxfId="18" stopIfTrue="1">
      <formula>IF($A$44=0,TRUE,FALSE)</formula>
    </cfRule>
  </conditionalFormatting>
  <conditionalFormatting sqref="G43:L43">
    <cfRule type="expression" priority="97" dxfId="19" stopIfTrue="1">
      <formula>IF(OR($G$41="",$G$41="PAINT"),FALSE,TRUE)</formula>
    </cfRule>
    <cfRule type="expression" priority="98" dxfId="18" stopIfTrue="1">
      <formula>IF($A$44=0,TRUE,FALSE)</formula>
    </cfRule>
  </conditionalFormatting>
  <conditionalFormatting sqref="AB43:AG43">
    <cfRule type="expression" priority="99" dxfId="19" stopIfTrue="1">
      <formula>IF(OR($AE$41="",$AE$41="PAINT"),FALSE,TRUE)</formula>
    </cfRule>
    <cfRule type="expression" priority="100" dxfId="18" stopIfTrue="1">
      <formula>IF($A$44=0,TRUE,FALSE)</formula>
    </cfRule>
  </conditionalFormatting>
  <conditionalFormatting sqref="K47:N47 D51:G51">
    <cfRule type="expression" priority="101" dxfId="18" stopIfTrue="1">
      <formula>IF($E$54=0,TRUE,FALSE)</formula>
    </cfRule>
  </conditionalFormatting>
  <conditionalFormatting sqref="G48:N48 AD48:AK48">
    <cfRule type="expression" priority="102" dxfId="19" stopIfTrue="1">
      <formula>IF($K$47="NO",TRUE,FALSE)</formula>
    </cfRule>
    <cfRule type="expression" priority="103" dxfId="18" stopIfTrue="1">
      <formula>IF($E$54=0,TRUE,FALSE)</formula>
    </cfRule>
  </conditionalFormatting>
  <conditionalFormatting sqref="G49:S49">
    <cfRule type="expression" priority="104" dxfId="19" stopIfTrue="1">
      <formula>IF(OR($K$47="NO",$G$48="N/A",$G$48="TEFLON",$G$48="SILVERSTONE"),TRUE,FALSE)</formula>
    </cfRule>
    <cfRule type="expression" priority="105" dxfId="18" stopIfTrue="1">
      <formula>IF($E$54=0,TRUE,FALSE)</formula>
    </cfRule>
  </conditionalFormatting>
  <conditionalFormatting sqref="AD49:AO49">
    <cfRule type="expression" priority="106" dxfId="19" stopIfTrue="1">
      <formula>IF(OR($K$47="NO",$AD$48="N/A",$AD$48="TEFLON",$AD$48="SILVERSTONE"),TRUE,FALSE)</formula>
    </cfRule>
    <cfRule type="expression" priority="107" dxfId="18" stopIfTrue="1">
      <formula>IF($E$54=0,TRUE,FALSE)</formula>
    </cfRule>
  </conditionalFormatting>
  <conditionalFormatting sqref="I52:O53">
    <cfRule type="expression" priority="108" dxfId="19" stopIfTrue="1">
      <formula>IF($D$51="NO",TRUE,FALSE)</formula>
    </cfRule>
    <cfRule type="expression" priority="109" dxfId="18" stopIfTrue="1">
      <formula>IF($E$54=0,TRUE,FALSE)</formula>
    </cfRule>
  </conditionalFormatting>
  <conditionalFormatting sqref="AB52:AD52">
    <cfRule type="expression" priority="110" dxfId="19" stopIfTrue="1">
      <formula>IF(OR($I$52="NONE",$D$51="NO"),TRUE,FALSE)</formula>
    </cfRule>
    <cfRule type="expression" priority="111" dxfId="18" stopIfTrue="1">
      <formula>IF($E$54=0,TRUE,FALSE)</formula>
    </cfRule>
  </conditionalFormatting>
  <conditionalFormatting sqref="AB53:AD53">
    <cfRule type="expression" priority="112" dxfId="19" stopIfTrue="1">
      <formula>IF(OR($I$53="NONE",$D$51="NO"),TRUE,FALSE)</formula>
    </cfRule>
    <cfRule type="expression" priority="113" dxfId="18" stopIfTrue="1">
      <formula>IF($E$54=0,TRUE,FALSE)</formula>
    </cfRule>
  </conditionalFormatting>
  <conditionalFormatting sqref="F57:I57">
    <cfRule type="expression" priority="114" dxfId="18" stopIfTrue="1">
      <formula>IF($E$66=0,TRUE,FALSE)</formula>
    </cfRule>
  </conditionalFormatting>
  <conditionalFormatting sqref="F58:I58 Z58:AB58 H59:P59 G62:J62">
    <cfRule type="expression" priority="115" dxfId="19" stopIfTrue="1">
      <formula>IF($F$57="NO",TRUE,FALSE)</formula>
    </cfRule>
    <cfRule type="expression" priority="116" dxfId="18" stopIfTrue="1">
      <formula>IF($E$66=0,TRUE,FALSE)</formula>
    </cfRule>
  </conditionalFormatting>
  <conditionalFormatting sqref="Z59:AB59 AL59:AM59 AC60:AE60">
    <cfRule type="expression" priority="117" dxfId="19" stopIfTrue="1">
      <formula>IF(OR($H$59="WEDGE WIRE",$H$59="PERFORATED PLATE",$H$59="ROD",$F$57="NO"),TRUE,FALSE)</formula>
    </cfRule>
    <cfRule type="expression" priority="118" dxfId="18" stopIfTrue="1">
      <formula>IF($E$66=0,TRUE,FALSE)</formula>
    </cfRule>
  </conditionalFormatting>
  <conditionalFormatting sqref="N60:P60">
    <cfRule type="expression" priority="119" dxfId="19" stopIfTrue="1">
      <formula>IF(OR($H$59="MARKET GRADE",$H$59="TENSILE BOLTING",$H$59="N/A",$F$57="NO"),TRUE,FALSE)</formula>
    </cfRule>
    <cfRule type="expression" priority="120" dxfId="18" stopIfTrue="1">
      <formula>IF($E$66=0,TRUE,FALSE)</formula>
    </cfRule>
  </conditionalFormatting>
  <conditionalFormatting sqref="AM60:AO60">
    <cfRule type="expression" priority="121" dxfId="19" stopIfTrue="1">
      <formula>IF(OR($H$59="WEDGE WIRE",$H$59="PERFORATED PLATE",$H$59="ROD",$H$59="N/A",$F$57="NO"),TRUE,FALSE)</formula>
    </cfRule>
    <cfRule type="expression" priority="122" dxfId="0" stopIfTrue="1">
      <formula>IF($H$59="",TRUE,FALSE)</formula>
    </cfRule>
    <cfRule type="expression" priority="123" dxfId="18" stopIfTrue="1">
      <formula>IF($E$66=0,TRUE,FALSE)</formula>
    </cfRule>
  </conditionalFormatting>
  <conditionalFormatting sqref="H63:P63">
    <cfRule type="expression" priority="124" dxfId="19" stopIfTrue="1">
      <formula>IF(OR($F$57="NO",$G$62="NO"),TRUE,FALSE)</formula>
    </cfRule>
    <cfRule type="expression" priority="125" dxfId="18" stopIfTrue="1">
      <formula>IF($E$66=0,TRUE,FALSE)</formula>
    </cfRule>
  </conditionalFormatting>
  <conditionalFormatting sqref="Z63:AB63">
    <cfRule type="expression" priority="126" dxfId="19" stopIfTrue="1">
      <formula>IF(OR($H$63="WEDGE WIRE",$H$63="PERFORATED PLATE",$H$63="ROD",$H$63="N/A",$F$57="NO",$G$62="NO"),TRUE,FALSE)</formula>
    </cfRule>
    <cfRule type="expression" priority="127" dxfId="18" stopIfTrue="1">
      <formula>IF($E$66=0,TRUE,FALSE)</formula>
    </cfRule>
  </conditionalFormatting>
  <conditionalFormatting sqref="AL63:AM63 AC64:AE64">
    <cfRule type="expression" priority="128" dxfId="19" stopIfTrue="1">
      <formula>IF(OR($H$63="WEDGE WIRE",$H$63="PERFORATED PLATE",$H$63="ROD",$F$57="NO",$G$62="NO"),TRUE,FALSE)</formula>
    </cfRule>
    <cfRule type="expression" priority="129" dxfId="18" stopIfTrue="1">
      <formula>IF($E$66=0,TRUE,FALSE)</formula>
    </cfRule>
  </conditionalFormatting>
  <conditionalFormatting sqref="N64:P65">
    <cfRule type="expression" priority="130" dxfId="19" stopIfTrue="1">
      <formula>IF(OR($G$62="NO",$F$57="NO",$H$63="TENSILE BOLTING",$H$63="MARKET GRADE"),TRUE,FALSE)</formula>
    </cfRule>
    <cfRule type="expression" priority="131" dxfId="18" stopIfTrue="1">
      <formula>IF($E$66=0,TRUE,FALSE)</formula>
    </cfRule>
  </conditionalFormatting>
  <conditionalFormatting sqref="AM64:AO64">
    <cfRule type="expression" priority="132" dxfId="19" stopIfTrue="1">
      <formula>IF(OR($H$63="WEDGE WIRE",$H$63="PERFORATED PLATE",$H$63="ROD",$L$63="N/A",$F$57="NO",$G$62="NO"),TRUE,FALSE)</formula>
    </cfRule>
    <cfRule type="expression" priority="133" dxfId="189" stopIfTrue="1">
      <formula>IF($H$63="",TRUE,FALSE)</formula>
    </cfRule>
    <cfRule type="expression" priority="134" dxfId="18" stopIfTrue="1">
      <formula>IF($E$66=0,TRUE,FALSE)</formula>
    </cfRule>
  </conditionalFormatting>
  <conditionalFormatting sqref="K68:N68">
    <cfRule type="expression" priority="135" dxfId="18" stopIfTrue="1">
      <formula>IF($B$82=0,TRUE,FALSE)</formula>
    </cfRule>
  </conditionalFormatting>
  <conditionalFormatting sqref="Z68:AF68">
    <cfRule type="expression" priority="136" dxfId="19" stopIfTrue="1">
      <formula>IF($K$68="NO",TRUE,FALSE)</formula>
    </cfRule>
    <cfRule type="expression" priority="137" dxfId="189" stopIfTrue="1">
      <formula>IF(OR($F$77="NO",$G$70=""),TRUE,FALSE)</formula>
    </cfRule>
    <cfRule type="expression" priority="138" dxfId="18" stopIfTrue="1">
      <formula>IF($B$82=0,TRUE,FALSE)</formula>
    </cfRule>
  </conditionalFormatting>
  <conditionalFormatting sqref="N70:S70 D71:I71 E72:I72 O72:Q72 J74:L74 Q74:S74 F76:I76 A80:AO81 G70:H70">
    <cfRule type="expression" priority="139" dxfId="19" stopIfTrue="1">
      <formula>IF($K$68="NO",TRUE,FALSE)</formula>
    </cfRule>
    <cfRule type="expression" priority="140" dxfId="18" stopIfTrue="1">
      <formula>IF($B$82=0,TRUE,FALSE)</formula>
    </cfRule>
  </conditionalFormatting>
  <conditionalFormatting sqref="AC70:AO70">
    <cfRule type="expression" priority="141" dxfId="19" stopIfTrue="1">
      <formula>IF(OR($N$70="",$N$70="OTHER"),FALSE,TRUE)</formula>
    </cfRule>
    <cfRule type="expression" priority="142" dxfId="19" stopIfTrue="1">
      <formula>IF($K$68="NO",TRUE,FALSE)</formula>
    </cfRule>
    <cfRule type="expression" priority="143" dxfId="18" stopIfTrue="1">
      <formula>IF($B$82=0,TRUE,FALSE)</formula>
    </cfRule>
  </conditionalFormatting>
  <conditionalFormatting sqref="O71:P71 R71:S71">
    <cfRule type="expression" priority="144" dxfId="19" stopIfTrue="1">
      <formula>IF(OR($D$71="",$D$71="OTHER"),TRUE,FALSE)</formula>
    </cfRule>
    <cfRule type="expression" priority="145" dxfId="18" stopIfTrue="1">
      <formula>IF($B$82=0,TRUE,FALSE)</formula>
    </cfRule>
  </conditionalFormatting>
  <conditionalFormatting sqref="AC71:AO71">
    <cfRule type="expression" priority="146" dxfId="19" stopIfTrue="1">
      <formula>IF(OR($D$71="OTHER",$D$71=""),FALSE,TRUE)</formula>
    </cfRule>
    <cfRule type="expression" priority="147" dxfId="19" stopIfTrue="1">
      <formula>IF($K$68="NO",TRUE,FALSE)</formula>
    </cfRule>
    <cfRule type="expression" priority="148" dxfId="18" stopIfTrue="1">
      <formula>IF($B$82=0,TRUE,FALSE)</formula>
    </cfRule>
  </conditionalFormatting>
  <conditionalFormatting sqref="AA74:AO74">
    <cfRule type="expression" priority="149" dxfId="19" stopIfTrue="1">
      <formula>IF(OR($J$74="",$J$74="OTHER",$Q$74="OTHER"),FALSE,TRUE)</formula>
    </cfRule>
    <cfRule type="expression" priority="150" dxfId="19" stopIfTrue="1">
      <formula>IF($K$68="NO",TRUE,FALSE)</formula>
    </cfRule>
    <cfRule type="expression" priority="151" dxfId="18" stopIfTrue="1">
      <formula>IF($B$82=0,TRUE,FALSE)</formula>
    </cfRule>
  </conditionalFormatting>
  <conditionalFormatting sqref="G77:I77">
    <cfRule type="expression" priority="152" dxfId="19" stopIfTrue="1">
      <formula>IF($F$76="NO",TRUE,FALSE)</formula>
    </cfRule>
    <cfRule type="expression" priority="153" dxfId="19" stopIfTrue="1">
      <formula>IF($K$68="NO",TRUE,FALSE)</formula>
    </cfRule>
    <cfRule type="expression" priority="154" dxfId="18" stopIfTrue="1">
      <formula>IF($B$82=0,TRUE,FALSE)</formula>
    </cfRule>
  </conditionalFormatting>
  <conditionalFormatting sqref="AA77:AC77 AG77:AI77 AM77:AO77 J78:K78">
    <cfRule type="expression" priority="155" dxfId="19" stopIfTrue="1">
      <formula>IF($K$68="NO",TRUE,FALSE)</formula>
    </cfRule>
    <cfRule type="expression" priority="156" dxfId="19" stopIfTrue="1">
      <formula>IF($F$76="NO",TRUE,FALSE)</formula>
    </cfRule>
    <cfRule type="expression" priority="157" dxfId="18" stopIfTrue="1">
      <formula>IF($B$82=0,TRUE,FALSE)</formula>
    </cfRule>
  </conditionalFormatting>
  <conditionalFormatting sqref="AJ78:AL78">
    <cfRule type="expression" priority="158" dxfId="19" stopIfTrue="1">
      <formula>IF(OR($K$68="NO",$F$76="NO"),TRUE,FALSE)</formula>
    </cfRule>
    <cfRule type="expression" priority="159" dxfId="18" stopIfTrue="1">
      <formula>IF($B$82=0,TRUE,FALSE)</formula>
    </cfRule>
    <cfRule type="expression" priority="160" dxfId="189" stopIfTrue="1">
      <formula>IF($G$70="",TRUE,FALSE)</formula>
    </cfRule>
  </conditionalFormatting>
  <conditionalFormatting sqref="A88:G88">
    <cfRule type="expression" priority="161" dxfId="19" stopIfTrue="1">
      <formula>IF($E$84="NO",TRUE,FALSE)</formula>
    </cfRule>
  </conditionalFormatting>
  <conditionalFormatting sqref="E84:H84 A89:AO90">
    <cfRule type="expression" priority="162" dxfId="18" stopIfTrue="1">
      <formula>IF($AB$91=0,TRUE,FALSE)</formula>
    </cfRule>
  </conditionalFormatting>
  <conditionalFormatting sqref="K85:AD85 AL85:AN85">
    <cfRule type="expression" priority="163" dxfId="19" stopIfTrue="1">
      <formula>IF($E$84="NO",TRUE,FALSE)</formula>
    </cfRule>
    <cfRule type="expression" priority="164" dxfId="18" stopIfTrue="1">
      <formula>IF($AB$91=0,TRUE,FALSE)</formula>
    </cfRule>
  </conditionalFormatting>
  <conditionalFormatting sqref="K86:Y86 AD86:AE86 AI86:AJ86 AN86:AO86">
    <cfRule type="expression" priority="165" dxfId="19" stopIfTrue="1">
      <formula>IF($E$84="NO",TRUE,FALSE)</formula>
    </cfRule>
    <cfRule type="expression" priority="166" dxfId="18" stopIfTrue="1">
      <formula>IF($AB$91=0,TRUE,FALSE)</formula>
    </cfRule>
  </conditionalFormatting>
  <conditionalFormatting sqref="AE6:AG6 AM6:AO6">
    <cfRule type="expression" priority="167" dxfId="18" stopIfTrue="1">
      <formula>IF($A$13=0,TRUE,FALSE)</formula>
    </cfRule>
  </conditionalFormatting>
  <conditionalFormatting sqref="H4:AH4">
    <cfRule type="expression" priority="168" dxfId="20" stopIfTrue="1">
      <formula>IF($N$6="",FALSE,TRUE)</formula>
    </cfRule>
  </conditionalFormatting>
  <conditionalFormatting sqref="N61:P61">
    <cfRule type="expression" priority="169" dxfId="19" stopIfTrue="1">
      <formula>IF(OR($H$59="MARKET GRADE",$H$59="TENSILE BOLTING",$H$59="PERFORATED PLATE",$H$59="N/A",$F$57="NO"),TRUE,FALSE)</formula>
    </cfRule>
    <cfRule type="expression" priority="170" dxfId="18" stopIfTrue="1">
      <formula>IF($E$66=0,TRUE,FALSE)</formula>
    </cfRule>
  </conditionalFormatting>
  <dataValidations count="50">
    <dataValidation type="list" allowBlank="1" showErrorMessage="1" errorTitle="RESTRICTED" error="You must choose from the existing list." sqref="Z63:AB63">
      <formula1>BOTTOMMESH</formula1>
    </dataValidation>
    <dataValidation type="list" allowBlank="1" showErrorMessage="1" errorTitle="RESTRICTED" error="You must choose from the existing list." sqref="Z59:AB59">
      <formula1>TOPMESH</formula1>
    </dataValidation>
    <dataValidation type="list" allowBlank="1" showInputMessage="1" showErrorMessage="1" errorTitle="RESTRICTED" error="You must choose from the existing list." sqref="H26:M26">
      <formula1>"UNDERDRIVE,OVERHEAD-DRIVE"</formula1>
    </dataValidation>
    <dataValidation type="list" allowBlank="1" showInputMessage="1" showErrorMessage="1" errorTitle="RESTRICTED" error="You must choose from the existing list." sqref="G24:M24">
      <formula1>mechmodels</formula1>
    </dataValidation>
    <dataValidation type="list" allowBlank="1" showInputMessage="1" showErrorMessage="1" errorTitle="RESTRICTED" error="You must choose from the existing list." sqref="J74:L74">
      <formula1>"TUBE,ANGLE,OTHER"</formula1>
    </dataValidation>
    <dataValidation allowBlank="1" showInputMessage="1" sqref="A83:A84 B83:D83 I83:J84 E83:H83"/>
    <dataValidation errorStyle="warning" allowBlank="1" showInputMessage="1" showErrorMessage="1" sqref="K86 A87:Z87 AL87:AO87"/>
    <dataValidation type="list" allowBlank="1" showInputMessage="1" showErrorMessage="1" errorTitle="RESTRICTED" error="You must choose from the existing list." sqref="D71:I71">
      <formula1>"ROUND,SQUARE,RECTANGULAR,OTHER"</formula1>
    </dataValidation>
    <dataValidation allowBlank="1" showInputMessage="1" showErrorMessage="1" errorTitle="RESTRICTED" error="You must choose from the existing list." sqref="P47:R47 AM48:AN48 T24:U24 K28:M28 T70:V70 O43:R43 O48:U48 AK36 N30 T74:V74 M74 J77:O77 D70 P21:X22 AN24:AO24 N27:N28 I70 U19"/>
    <dataValidation type="list" allowBlank="1" showInputMessage="1" showErrorMessage="1" errorTitle="RESTRICTED" error="You must choose from the existing list." sqref="D33:I33">
      <formula1>"ROUND,RECTANGULAR,SQUARE,N/A"</formula1>
    </dataValidation>
    <dataValidation type="list" showErrorMessage="1" errorTitle="RESTRICTED" error="You must choose from the existing list." sqref="G34:N34">
      <formula1>"MS,304 SS,304L SS,307 SS,309 SS,310 SS,316 SS,316L SS,430/410 SS,OTHER"</formula1>
    </dataValidation>
    <dataValidation type="list" allowBlank="1" showInputMessage="1" showErrorMessage="1" errorTitle="RESTRICTED" error="You must choose from the existing list." sqref="G41:N41">
      <formula1>" PAINT,GLASSBEAD,#4 POLISH,#7 POLISH,ELECTROPOLISH,OTHER,N/A"</formula1>
    </dataValidation>
    <dataValidation type="list" allowBlank="1" showInputMessage="1" showErrorMessage="1" errorTitle="RESTRICTED" error="You must choose from the existing list." sqref="AB31:AO31">
      <formula1>"FLAT-ENCLOSED,FLAT-OPEN,VTRAY-ENCLOSED,VTRAY-OPEN,TUBE,HALF ROUND-ENCLOSED,HALF ROUND-OPEN,QUICK RELEASE,SCREEN-QUICK RELEASE,SCREEN-ENCLOSED,SCREEN-OPEN"</formula1>
    </dataValidation>
    <dataValidation type="list" allowBlank="1" showInputMessage="1" showErrorMessage="1" errorTitle="RESTRICTED" error="You must choose from the existing list." sqref="AG24:AI24">
      <formula1>HZ</formula1>
    </dataValidation>
    <dataValidation operator="notEqual" showErrorMessage="1" sqref="C6:F6"/>
    <dataValidation type="list" allowBlank="1" showInputMessage="1" showErrorMessage="1" errorTitle="RESTRICTED" error="You must choose from the existing list." sqref="O24:S24">
      <formula1>elecmodels</formula1>
    </dataValidation>
    <dataValidation type="list" allowBlank="1" showInputMessage="1" showErrorMessage="1" errorTitle="RESTRICTED" error="You must choose from the existing list." sqref="AA24:AC24">
      <formula1>"115,230,380,460,575"</formula1>
    </dataValidation>
    <dataValidation type="list" allowBlank="1" showInputMessage="1" showErrorMessage="1" errorTitle="RESTRICTED" error="You must choose from the existing list." sqref="AC26:AJ26">
      <formula1>"SINGLE,SIDE BY SIDE,IN LINE (TANDEM), SIDE BY SIDE &amp; INLINE"</formula1>
    </dataValidation>
    <dataValidation type="list" allowBlank="1" showInputMessage="1" showErrorMessage="1" errorTitle="RESTRICTED" error="You must choose from the existing list." sqref="E30 E27:M27">
      <formula1>"BASE,SUSP,SUSP/BASE,BASE/SUSP"</formula1>
    </dataValidation>
    <dataValidation type="list" allowBlank="1" showInputMessage="1" showErrorMessage="1" errorTitle="RESTRICTED" error="You must choose from the existing list." sqref="I52:O53">
      <formula1>"STAINLESS STEEL,ARS,LINATEX,POLYURETHANE,UHHW,TEFLON,MANGANESE,CHROME-CARBIDE,NONE"</formula1>
    </dataValidation>
    <dataValidation type="list" allowBlank="1" showErrorMessage="1" errorTitle="RESTRICTED" error="You must choose from the existing list." sqref="AB53:AD53">
      <formula1>".125,.1875,.25,.3125,.375,"</formula1>
    </dataValidation>
    <dataValidation allowBlank="1" showErrorMessage="1" errorTitle="RESTRICTED" error="You must choose from the existing list." sqref="N61 AP61:IV61 A61"/>
    <dataValidation type="list" allowBlank="1" showInputMessage="1" showErrorMessage="1" errorTitle="RESTRICTED" error="You must choose from the existing list." sqref="G23:S23">
      <formula1>"MECHANICAL,ELECTRO-MAGNETIC"</formula1>
    </dataValidation>
    <dataValidation type="list" allowBlank="1" showInputMessage="1" showErrorMessage="1" errorTitle="RESTRICTED" error="You must choose from the existing list." sqref="Z33:AE33">
      <formula1>"ROUND,RECTANGULAR,SQUARE,LEFT HAND,LH BIAS,RIGHT HAND,RH BIAS,OFF END,N/A"</formula1>
    </dataValidation>
    <dataValidation showErrorMessage="1" errorTitle="RESTRICTED" error="You must choose from the existing list." sqref="O34"/>
    <dataValidation type="list" allowBlank="1" showInputMessage="1" showErrorMessage="1" errorTitle="RESTRICTED" error="You must choose from the existing list." sqref="G37:M37">
      <formula1>"SANITARY 1,SANITARY 2,STD,OTHER"</formula1>
    </dataValidation>
    <dataValidation type="list" allowBlank="1" showInputMessage="1" showErrorMessage="1" errorTitle="RESTRICTED" error="You must choose from the existing list." sqref="AE41:AK41">
      <formula1>"PAINT,GLASSBEAD,#4 POLISH,#7 POLISH,ELECTROPOLISH,DEVCON,OTHER,N/A"</formula1>
    </dataValidation>
    <dataValidation type="list" showErrorMessage="1" errorTitle="RESTRICTED" error="You must choose from the existing list." sqref="E28:J28">
      <formula1>"STD GRAY,STEEL-IT,WHITE EPOXY,OTHER,NONE"</formula1>
    </dataValidation>
    <dataValidation type="list" allowBlank="1" showInputMessage="1" showErrorMessage="1" errorTitle="RESTRICTED" error="You must choose from the existing list." sqref="AD48:AK48 G48:N48">
      <formula1>"SILVERSTONE,TEFLON,OTHER,N/A"</formula1>
    </dataValidation>
    <dataValidation type="list" allowBlank="1" showInputMessage="1" showErrorMessage="1" errorTitle="RESTRICTED" error="You must choose from the existing list." sqref="N70:S70">
      <formula1>"CONICAL,PYRAMID,THREE SIDED,CHIZZLE TOOTH,OTHER"</formula1>
    </dataValidation>
    <dataValidation allowBlank="1" showInputMessage="1" errorTitle="RESTRICTED" error="You must choose from the existing list." sqref="AN25:AO25 AG25:AI25"/>
    <dataValidation type="list" allowBlank="1" showInputMessage="1" showErrorMessage="1" errorTitle="RESTRICTED" error="You must choose from the existing list." sqref="Q74:S74">
      <formula1>"MS,SS,OTHER"</formula1>
    </dataValidation>
    <dataValidation type="list" allowBlank="1" showInputMessage="1" showErrorMessage="1" errorTitle="RESTRICTED" error="You must choose from the existing list." sqref="AB52:AD52">
      <formula1>"0.125,0.1875,0.25,0.3125,0.375"</formula1>
    </dataValidation>
    <dataValidation type="list" allowBlank="1" showInputMessage="1" showErrorMessage="1" sqref="Q85:AD85">
      <formula1>RECOMMEND</formula1>
    </dataValidation>
    <dataValidation type="list" allowBlank="1" showInputMessage="1" showErrorMessage="1" sqref="R7:V7 AL18:AO18 K47:N47 F76:I76 F57:I58 I19:L19 D51:G51 G62:J62 K68:N68 P20:S20">
      <formula1>"YES OR NO,YES,NO"</formula1>
    </dataValidation>
    <dataValidation type="list" allowBlank="1" showInputMessage="1" showErrorMessage="1" sqref="AA18:AD18">
      <formula1>"YES OR NO, YES, NO"</formula1>
    </dataValidation>
    <dataValidation type="list" allowBlank="1" showInputMessage="1" errorTitle="RESTRICTED" error="You must choose from the existing list." sqref="AJ25:AM25">
      <formula1>"YES OR NO,YES,NO"</formula1>
    </dataValidation>
    <dataValidation type="list" allowBlank="1" showInputMessage="1" showErrorMessage="1" errorTitle="RESTRICTED" error="You must choose from the existing list." sqref="AE37:AJ37">
      <formula1>"SANITARY 1,SANITARY 2,STD,STD W/ DEVCON,OTHER"</formula1>
    </dataValidation>
    <dataValidation type="list" allowBlank="1" showDropDown="1" showInputMessage="1" showErrorMessage="1" sqref="AY83:BA84">
      <formula1>IF(AND(AA24=115,K85="NEMA 12"),ONE,IF(AND(AA24=230,K85="NEMA 12"),TWO,IF(AND(AA24=380,K85="NEMA 12"),THREE,IF(AND(AA24=460,K85="NEMA 12"),FOUR,IF(AND(AA24=575,K85="NEMA 12"),FIVE)))))</formula1>
    </dataValidation>
    <dataValidation type="list" allowBlank="1" showInputMessage="1" showErrorMessage="1" sqref="G77:I77">
      <formula1>bin</formula1>
    </dataValidation>
    <dataValidation type="list" showErrorMessage="1" errorTitle="RESTRICTED" error="You must choose from the existing list." sqref="G43:L43">
      <formula1>"STD GRAY,STEEL-IT,WHITE EPOXY"</formula1>
    </dataValidation>
    <dataValidation type="list" allowBlank="1" showInputMessage="1" showErrorMessage="1" sqref="AB43:AG43">
      <formula1>"STD GRAY,STEEL-IT,WHITE EPOXY"</formula1>
    </dataValidation>
    <dataValidation type="list" allowBlank="1" showInputMessage="1" showErrorMessage="1" sqref="AA77:AC77">
      <formula1>"115,230,460"</formula1>
    </dataValidation>
    <dataValidation type="list" allowBlank="1" showInputMessage="1" showErrorMessage="1" sqref="E72:I72">
      <formula1>"MS,304 SS,304L SS,307 SS,309 SS,310 SS,316 SS,316L SS,430/410 SS,OTHER"</formula1>
    </dataValidation>
    <dataValidation type="list" allowBlank="1" showInputMessage="1" showErrorMessage="1" sqref="O72:Q72">
      <formula1>BinMaterialThickness</formula1>
    </dataValidation>
    <dataValidation type="list" allowBlank="1" showInputMessage="1" showErrorMessage="1" errorTitle="RESTRICTED" error="You must choose from the existing list." sqref="H59:P59 H63:P63">
      <formula1>"MARKET GRADE,TENSILE BOLTING,WEDGE WIRE,PERFORATED PLATE,ROD"</formula1>
    </dataValidation>
    <dataValidation type="list" allowBlank="1" showInputMessage="1" showErrorMessage="1" errorTitle="SELECT FROM LIST" sqref="E84:H84">
      <formula1>"YES OR NO,YES,NO"</formula1>
    </dataValidation>
    <dataValidation type="list" allowBlank="1" showInputMessage="1" showErrorMessage="1" errorTitle="RESTRICTED" error="You must choose from the existing list." sqref="K85:P85">
      <formula1>"NEMA 12,NEMA 4,NEMA 4X SS"</formula1>
    </dataValidation>
    <dataValidation allowBlank="1" sqref="AE6:AG6"/>
    <dataValidation allowBlank="1" showInputMessage="1" prompt="PRESS 'TAB' KEY TO PROGRESS TO NEXT CELL" sqref="N6:Q6"/>
  </dataValidations>
  <printOptions/>
  <pageMargins left="0.28" right="0.33" top="0.22" bottom="0.38" header="0.21" footer="0.46"/>
  <pageSetup fitToHeight="3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7"/>
  <sheetViews>
    <sheetView showGridLines="0" showOutlineSymbols="0" zoomScaleSheetLayoutView="100" zoomScalePageLayoutView="0" workbookViewId="0" topLeftCell="A1">
      <selection activeCell="D8" sqref="D8:F8"/>
    </sheetView>
  </sheetViews>
  <sheetFormatPr defaultColWidth="9.140625" defaultRowHeight="12.75"/>
  <cols>
    <col min="1" max="1" width="0.85546875" style="40" customWidth="1"/>
    <col min="2" max="2" width="0.9921875" style="59" customWidth="1"/>
    <col min="3" max="3" width="4.7109375" style="59" customWidth="1"/>
    <col min="4" max="4" width="6.57421875" style="59" customWidth="1"/>
    <col min="5" max="15" width="4.7109375" style="59" customWidth="1"/>
    <col min="16" max="16" width="1.7109375" style="59" customWidth="1"/>
    <col min="17" max="21" width="4.7109375" style="59" customWidth="1"/>
    <col min="22" max="22" width="5.28125" style="59" customWidth="1"/>
    <col min="23" max="27" width="4.7109375" style="59" customWidth="1"/>
    <col min="28" max="16384" width="9.140625" style="59" customWidth="1"/>
  </cols>
  <sheetData>
    <row r="1" spans="1:27" ht="19.5" customHeight="1">
      <c r="A1" s="71"/>
      <c r="B1" s="71"/>
      <c r="C1" s="71"/>
      <c r="D1" s="71"/>
      <c r="E1" s="71"/>
      <c r="F1" s="596" t="s">
        <v>118</v>
      </c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AA1" s="101"/>
    </row>
    <row r="2" spans="1:27" ht="20.25">
      <c r="A2" s="71"/>
      <c r="B2" s="71"/>
      <c r="C2" s="71"/>
      <c r="D2" s="71"/>
      <c r="E2" s="71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U2" s="587" t="s">
        <v>120</v>
      </c>
      <c r="V2" s="588"/>
      <c r="W2" s="588"/>
      <c r="X2" s="588"/>
      <c r="Y2" s="588"/>
      <c r="Z2" s="588"/>
      <c r="AA2" s="546"/>
    </row>
    <row r="3" spans="1:27" ht="36.75" customHeight="1">
      <c r="A3" s="49"/>
      <c r="B3" s="54"/>
      <c r="C3" s="54"/>
      <c r="D3" s="54"/>
      <c r="E3" s="54"/>
      <c r="F3" s="530" t="s">
        <v>119</v>
      </c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U3" s="589"/>
      <c r="V3" s="590"/>
      <c r="W3" s="590"/>
      <c r="X3" s="590"/>
      <c r="Y3" s="590"/>
      <c r="Z3" s="590"/>
      <c r="AA3" s="538"/>
    </row>
    <row r="4" spans="1:27" s="53" customFormat="1" ht="14.25" customHeight="1">
      <c r="A4" s="49"/>
      <c r="B4" s="72"/>
      <c r="C4" s="72"/>
      <c r="D4" s="72"/>
      <c r="E4" s="1"/>
      <c r="F4" s="531" t="s">
        <v>121</v>
      </c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W4" s="594" t="e">
        <f>IF('VIB SPEC SHEET'!#REF!="","",'VIB SPEC SHEET'!#REF!)</f>
        <v>#REF!</v>
      </c>
      <c r="X4" s="594"/>
      <c r="Y4" s="594"/>
      <c r="Z4" s="594"/>
      <c r="AA4" s="594"/>
    </row>
    <row r="5" spans="1:27" s="53" customFormat="1" ht="15" customHeight="1">
      <c r="A5" s="50"/>
      <c r="B5" s="50"/>
      <c r="C5" s="50"/>
      <c r="D5" s="50"/>
      <c r="E5" s="50"/>
      <c r="F5" s="533" t="s">
        <v>122</v>
      </c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91" t="s">
        <v>123</v>
      </c>
      <c r="U5" s="591"/>
      <c r="V5" s="591"/>
      <c r="W5" s="594"/>
      <c r="X5" s="594"/>
      <c r="Y5" s="594"/>
      <c r="Z5" s="594"/>
      <c r="AA5" s="594"/>
    </row>
    <row r="6" spans="1:27" s="53" customFormat="1" ht="15" customHeight="1">
      <c r="A6" s="50"/>
      <c r="B6" s="50"/>
      <c r="C6" s="50"/>
      <c r="D6" s="50"/>
      <c r="E6" s="50"/>
      <c r="F6" s="50"/>
      <c r="G6" s="50"/>
      <c r="H6" s="50"/>
      <c r="I6" s="50"/>
      <c r="J6" s="102"/>
      <c r="K6" s="50"/>
      <c r="L6" s="50"/>
      <c r="M6" s="76"/>
      <c r="N6" s="76"/>
      <c r="O6" s="76"/>
      <c r="P6" s="76"/>
      <c r="Q6" s="76"/>
      <c r="R6" s="76"/>
      <c r="S6" s="54"/>
      <c r="T6" s="54"/>
      <c r="U6" s="54"/>
      <c r="V6" s="54"/>
      <c r="W6" s="595"/>
      <c r="X6" s="595"/>
      <c r="Y6" s="595"/>
      <c r="Z6" s="595"/>
      <c r="AA6" s="595"/>
    </row>
    <row r="7" spans="1:27" s="53" customFormat="1" ht="15.75" customHeight="1">
      <c r="A7" s="50"/>
      <c r="B7" s="50"/>
      <c r="C7" s="539" t="s">
        <v>125</v>
      </c>
      <c r="D7" s="540"/>
      <c r="E7" s="540"/>
      <c r="F7" s="103"/>
      <c r="G7" s="52"/>
      <c r="H7" s="539" t="s">
        <v>124</v>
      </c>
      <c r="I7" s="541"/>
      <c r="J7" s="541"/>
      <c r="K7" s="541"/>
      <c r="L7" s="67"/>
      <c r="M7" s="67"/>
      <c r="N7" s="104"/>
      <c r="O7" s="105" t="s">
        <v>126</v>
      </c>
      <c r="P7" s="105"/>
      <c r="Q7" s="80"/>
      <c r="R7" s="501"/>
      <c r="S7" s="502"/>
      <c r="T7" s="502"/>
      <c r="U7" s="502"/>
      <c r="V7" s="586"/>
      <c r="W7" s="105" t="s">
        <v>127</v>
      </c>
      <c r="X7" s="592">
        <f ca="1">NOW()</f>
        <v>42381.65054212963</v>
      </c>
      <c r="Y7" s="592"/>
      <c r="Z7" s="592"/>
      <c r="AA7" s="104"/>
    </row>
    <row r="8" spans="1:27" s="53" customFormat="1" ht="17.25" customHeight="1">
      <c r="A8" s="50"/>
      <c r="B8" s="50"/>
      <c r="C8" s="106"/>
      <c r="D8" s="536"/>
      <c r="E8" s="536"/>
      <c r="F8" s="536"/>
      <c r="G8" s="91"/>
      <c r="H8" s="106"/>
      <c r="I8" s="91"/>
      <c r="J8" s="537">
        <f>IF('VIB SPEC SHEET'!Y6="","",'VIB SPEC SHEET'!Y6)</f>
      </c>
      <c r="K8" s="538"/>
      <c r="L8" s="538"/>
      <c r="M8" s="538"/>
      <c r="N8" s="94"/>
      <c r="O8" s="93"/>
      <c r="P8" s="93"/>
      <c r="Q8" s="93"/>
      <c r="R8" s="503"/>
      <c r="S8" s="503"/>
      <c r="T8" s="503"/>
      <c r="U8" s="503"/>
      <c r="V8" s="593"/>
      <c r="W8" s="89"/>
      <c r="AA8" s="107"/>
    </row>
    <row r="9" spans="1:27" s="53" customFormat="1" ht="14.25" customHeight="1">
      <c r="A9" s="49"/>
      <c r="B9" s="50"/>
      <c r="C9" s="534" t="s">
        <v>128</v>
      </c>
      <c r="D9" s="535"/>
      <c r="E9" s="52"/>
      <c r="F9" s="52"/>
      <c r="G9" s="52"/>
      <c r="H9" s="52"/>
      <c r="I9" s="52"/>
      <c r="J9" s="52"/>
      <c r="K9" s="80"/>
      <c r="L9" s="66"/>
      <c r="M9" s="52"/>
      <c r="N9" s="80"/>
      <c r="O9" s="534" t="s">
        <v>130</v>
      </c>
      <c r="P9" s="535"/>
      <c r="Q9" s="535"/>
      <c r="R9" s="52"/>
      <c r="S9" s="80"/>
      <c r="T9" s="80"/>
      <c r="U9" s="80"/>
      <c r="V9" s="80"/>
      <c r="W9" s="80"/>
      <c r="X9" s="80"/>
      <c r="Y9" s="80"/>
      <c r="Z9" s="80"/>
      <c r="AA9" s="104"/>
    </row>
    <row r="10" spans="1:27" s="53" customFormat="1" ht="22.5" customHeight="1">
      <c r="A10" s="46"/>
      <c r="B10" s="46"/>
      <c r="C10" s="81"/>
      <c r="D10" s="392">
        <f>IF('VIB SPEC SHEET'!A9="","",'VIB SPEC SHEET'!A9)</f>
      </c>
      <c r="E10" s="522"/>
      <c r="F10" s="522"/>
      <c r="G10" s="522"/>
      <c r="H10" s="522"/>
      <c r="I10" s="522"/>
      <c r="J10" s="522"/>
      <c r="K10" s="522"/>
      <c r="L10" s="522"/>
      <c r="M10" s="50"/>
      <c r="N10" s="50"/>
      <c r="O10" s="92"/>
      <c r="P10" s="76"/>
      <c r="Q10" s="392">
        <f>D10</f>
      </c>
      <c r="R10" s="522"/>
      <c r="S10" s="522"/>
      <c r="T10" s="522"/>
      <c r="U10" s="522"/>
      <c r="V10" s="522"/>
      <c r="W10" s="522"/>
      <c r="X10" s="522"/>
      <c r="Y10" s="522"/>
      <c r="Z10" s="54"/>
      <c r="AA10" s="98"/>
    </row>
    <row r="11" spans="1:27" s="53" customFormat="1" ht="15" customHeight="1">
      <c r="A11" s="49"/>
      <c r="B11" s="49"/>
      <c r="C11" s="82"/>
      <c r="D11" s="392">
        <f>IF('VIB SPEC SHEET'!A10="","",'VIB SPEC SHEET'!A10)</f>
      </c>
      <c r="E11" s="546"/>
      <c r="F11" s="546"/>
      <c r="G11" s="546"/>
      <c r="H11" s="546"/>
      <c r="I11" s="546"/>
      <c r="J11" s="546"/>
      <c r="K11" s="546"/>
      <c r="L11" s="546"/>
      <c r="M11" s="50"/>
      <c r="N11" s="50"/>
      <c r="O11" s="81"/>
      <c r="P11" s="50"/>
      <c r="Q11" s="392">
        <f>IF('VIB SPEC SHEET'!W10="","",'VIB SPEC SHEET'!W10)</f>
      </c>
      <c r="R11" s="522"/>
      <c r="S11" s="522"/>
      <c r="T11" s="522"/>
      <c r="U11" s="522"/>
      <c r="V11" s="522"/>
      <c r="W11" s="522"/>
      <c r="X11" s="522"/>
      <c r="Y11" s="522"/>
      <c r="Z11" s="54"/>
      <c r="AA11" s="98"/>
    </row>
    <row r="12" spans="1:27" s="53" customFormat="1" ht="15" customHeight="1">
      <c r="A12" s="63"/>
      <c r="B12" s="63"/>
      <c r="C12" s="83"/>
      <c r="D12" s="406" t="s">
        <v>129</v>
      </c>
      <c r="E12" s="546"/>
      <c r="F12" s="406"/>
      <c r="G12" s="522"/>
      <c r="H12" s="522"/>
      <c r="I12" s="522"/>
      <c r="J12" s="522"/>
      <c r="K12" s="522"/>
      <c r="L12" s="522"/>
      <c r="M12" s="1"/>
      <c r="N12" s="1"/>
      <c r="O12" s="84"/>
      <c r="P12" s="1"/>
      <c r="Q12" s="392" t="s">
        <v>129</v>
      </c>
      <c r="R12" s="522"/>
      <c r="S12" s="392">
        <f>IF('VIB SPEC SHEET'!E12="","",'VIB SPEC SHEET'!E12)</f>
      </c>
      <c r="T12" s="392"/>
      <c r="U12" s="392"/>
      <c r="V12" s="392"/>
      <c r="W12" s="392"/>
      <c r="X12" s="392"/>
      <c r="Y12" s="392"/>
      <c r="Z12" s="546"/>
      <c r="AA12" s="567"/>
    </row>
    <row r="13" spans="1:27" s="53" customFormat="1" ht="15" customHeight="1">
      <c r="A13" s="63"/>
      <c r="B13" s="63"/>
      <c r="C13" s="83"/>
      <c r="D13" s="406">
        <f>IF('VIB SPEC SHEET'!A11="","",'VIB SPEC SHEET'!A11)</f>
      </c>
      <c r="E13" s="522"/>
      <c r="F13" s="522"/>
      <c r="G13" s="522"/>
      <c r="H13" s="522"/>
      <c r="I13" s="522"/>
      <c r="J13" s="522"/>
      <c r="K13" s="522"/>
      <c r="L13" s="522"/>
      <c r="M13" s="1"/>
      <c r="N13" s="1"/>
      <c r="O13" s="84"/>
      <c r="P13" s="1"/>
      <c r="Q13" s="392">
        <f>IF('VIB SPEC SHEET'!W11="","",'VIB SPEC SHEET'!W11)</f>
      </c>
      <c r="R13" s="522"/>
      <c r="S13" s="522"/>
      <c r="T13" s="522"/>
      <c r="U13" s="522"/>
      <c r="V13" s="522"/>
      <c r="W13" s="522"/>
      <c r="X13" s="522"/>
      <c r="Y13" s="522"/>
      <c r="Z13" s="54"/>
      <c r="AA13" s="98"/>
    </row>
    <row r="14" spans="1:31" s="53" customFormat="1" ht="14.25" customHeight="1">
      <c r="A14" s="1"/>
      <c r="B14" s="1"/>
      <c r="C14" s="84"/>
      <c r="D14" s="392"/>
      <c r="E14" s="522"/>
      <c r="F14" s="522"/>
      <c r="G14" s="522"/>
      <c r="H14" s="522"/>
      <c r="I14" s="522"/>
      <c r="J14" s="522"/>
      <c r="K14" s="522"/>
      <c r="L14" s="522"/>
      <c r="M14" s="1"/>
      <c r="N14" s="1"/>
      <c r="O14" s="84"/>
      <c r="P14" s="1"/>
      <c r="Q14" s="392"/>
      <c r="R14" s="522"/>
      <c r="S14" s="522"/>
      <c r="T14" s="522"/>
      <c r="U14" s="522"/>
      <c r="V14" s="522"/>
      <c r="W14" s="522"/>
      <c r="X14" s="522"/>
      <c r="Y14" s="522"/>
      <c r="Z14" s="54"/>
      <c r="AA14" s="98"/>
      <c r="AB14" s="50"/>
      <c r="AC14" s="50"/>
      <c r="AD14" s="54"/>
      <c r="AE14" s="54"/>
    </row>
    <row r="15" spans="1:27" s="53" customFormat="1" ht="6" customHeight="1">
      <c r="A15" s="1"/>
      <c r="B15" s="1"/>
      <c r="C15" s="84"/>
      <c r="D15" s="1"/>
      <c r="E15" s="1"/>
      <c r="F15" s="1"/>
      <c r="G15" s="1"/>
      <c r="H15" s="1"/>
      <c r="I15" s="1"/>
      <c r="J15" s="68"/>
      <c r="K15" s="54"/>
      <c r="L15" s="1"/>
      <c r="M15" s="1"/>
      <c r="N15" s="1"/>
      <c r="O15" s="84"/>
      <c r="P15" s="1"/>
      <c r="Q15" s="1"/>
      <c r="R15" s="1"/>
      <c r="S15" s="54"/>
      <c r="T15" s="54"/>
      <c r="U15" s="54"/>
      <c r="V15" s="54"/>
      <c r="W15" s="54"/>
      <c r="X15" s="54"/>
      <c r="Y15" s="54"/>
      <c r="Z15" s="54"/>
      <c r="AA15" s="98"/>
    </row>
    <row r="16" spans="1:27" s="53" customFormat="1" ht="6" customHeight="1">
      <c r="A16" s="1"/>
      <c r="B16" s="1"/>
      <c r="C16" s="84"/>
      <c r="D16" s="1"/>
      <c r="E16" s="1"/>
      <c r="F16" s="1"/>
      <c r="G16" s="69"/>
      <c r="H16" s="69"/>
      <c r="I16" s="69"/>
      <c r="J16" s="74"/>
      <c r="K16" s="54"/>
      <c r="L16" s="1"/>
      <c r="M16" s="1"/>
      <c r="N16" s="1"/>
      <c r="O16" s="84"/>
      <c r="P16" s="1"/>
      <c r="Q16" s="1"/>
      <c r="R16" s="1"/>
      <c r="S16" s="432"/>
      <c r="T16" s="489"/>
      <c r="U16" s="489"/>
      <c r="V16" s="54"/>
      <c r="W16" s="54"/>
      <c r="X16" s="54"/>
      <c r="Y16" s="54"/>
      <c r="Z16" s="54"/>
      <c r="AA16" s="98"/>
    </row>
    <row r="17" spans="1:27" s="53" customFormat="1" ht="15.75" customHeight="1">
      <c r="A17" s="1"/>
      <c r="B17" s="69"/>
      <c r="C17" s="85"/>
      <c r="D17" s="526" t="s">
        <v>131</v>
      </c>
      <c r="E17" s="546"/>
      <c r="F17" s="527"/>
      <c r="G17" s="547"/>
      <c r="H17" s="547"/>
      <c r="I17" s="547"/>
      <c r="J17" s="69"/>
      <c r="K17" s="54"/>
      <c r="L17" s="54"/>
      <c r="M17" s="1"/>
      <c r="N17" s="1"/>
      <c r="O17" s="84"/>
      <c r="P17" s="1"/>
      <c r="Q17" s="1"/>
      <c r="R17" s="1"/>
      <c r="S17" s="49"/>
      <c r="T17" s="49"/>
      <c r="U17" s="49"/>
      <c r="V17" s="54"/>
      <c r="W17" s="54"/>
      <c r="X17" s="54"/>
      <c r="Y17" s="54"/>
      <c r="Z17" s="54"/>
      <c r="AA17" s="98"/>
    </row>
    <row r="18" spans="1:27" s="53" customFormat="1" ht="15" customHeight="1">
      <c r="A18" s="1"/>
      <c r="B18" s="69"/>
      <c r="C18" s="85"/>
      <c r="D18" s="526" t="s">
        <v>132</v>
      </c>
      <c r="E18" s="526"/>
      <c r="F18" s="527"/>
      <c r="G18" s="528"/>
      <c r="H18" s="528"/>
      <c r="I18" s="528"/>
      <c r="J18" s="69"/>
      <c r="K18" s="523"/>
      <c r="L18" s="524"/>
      <c r="M18" s="524"/>
      <c r="N18" s="525"/>
      <c r="O18" s="82"/>
      <c r="P18" s="49"/>
      <c r="Q18" s="50"/>
      <c r="R18" s="529"/>
      <c r="S18" s="524"/>
      <c r="T18" s="524"/>
      <c r="U18" s="524"/>
      <c r="V18" s="524"/>
      <c r="W18" s="524"/>
      <c r="X18" s="524"/>
      <c r="Y18" s="524"/>
      <c r="Z18" s="524"/>
      <c r="AA18" s="525"/>
    </row>
    <row r="19" spans="1:27" s="53" customFormat="1" ht="6" customHeight="1">
      <c r="A19" s="1"/>
      <c r="B19" s="69"/>
      <c r="C19" s="86"/>
      <c r="D19" s="95"/>
      <c r="E19" s="95"/>
      <c r="F19" s="87"/>
      <c r="G19" s="108"/>
      <c r="H19" s="108"/>
      <c r="I19" s="108"/>
      <c r="J19" s="87"/>
      <c r="K19" s="88"/>
      <c r="L19" s="89"/>
      <c r="M19" s="90"/>
      <c r="N19" s="96"/>
      <c r="O19" s="90"/>
      <c r="P19" s="90"/>
      <c r="Q19" s="91"/>
      <c r="R19" s="90"/>
      <c r="S19" s="90"/>
      <c r="T19" s="49"/>
      <c r="U19" s="49"/>
      <c r="V19" s="54"/>
      <c r="W19" s="54"/>
      <c r="X19" s="54"/>
      <c r="Y19" s="54"/>
      <c r="Z19" s="54"/>
      <c r="AA19" s="98"/>
    </row>
    <row r="20" spans="1:27" s="53" customFormat="1" ht="15" customHeight="1">
      <c r="A20" s="46"/>
      <c r="B20" s="46"/>
      <c r="C20" s="512" t="s">
        <v>133</v>
      </c>
      <c r="D20" s="513"/>
      <c r="E20" s="501"/>
      <c r="F20" s="502"/>
      <c r="G20" s="502"/>
      <c r="H20" s="502"/>
      <c r="I20" s="502"/>
      <c r="J20" s="502"/>
      <c r="K20" s="50"/>
      <c r="L20" s="1"/>
      <c r="M20" s="50"/>
      <c r="N20" s="1"/>
      <c r="O20" s="516" t="s">
        <v>134</v>
      </c>
      <c r="P20" s="517"/>
      <c r="Q20" s="518"/>
      <c r="R20" s="519" t="s">
        <v>135</v>
      </c>
      <c r="S20" s="518"/>
      <c r="T20" s="520"/>
      <c r="U20" s="500"/>
      <c r="V20" s="504" t="s">
        <v>136</v>
      </c>
      <c r="W20" s="505"/>
      <c r="X20" s="520"/>
      <c r="Y20" s="500"/>
      <c r="Z20" s="504" t="s">
        <v>138</v>
      </c>
      <c r="AA20" s="505"/>
    </row>
    <row r="21" spans="1:27" s="54" customFormat="1" ht="15" customHeight="1">
      <c r="A21" s="49"/>
      <c r="B21" s="75"/>
      <c r="C21" s="514"/>
      <c r="D21" s="515"/>
      <c r="E21" s="503"/>
      <c r="F21" s="503"/>
      <c r="G21" s="503"/>
      <c r="H21" s="503"/>
      <c r="I21" s="503"/>
      <c r="J21" s="503"/>
      <c r="K21" s="100"/>
      <c r="L21" s="100"/>
      <c r="M21" s="100"/>
      <c r="N21" s="100"/>
      <c r="O21" s="498"/>
      <c r="P21" s="499"/>
      <c r="Q21" s="500"/>
      <c r="R21" s="521"/>
      <c r="S21" s="500"/>
      <c r="T21" s="520"/>
      <c r="U21" s="500"/>
      <c r="V21" s="504" t="s">
        <v>139</v>
      </c>
      <c r="W21" s="505"/>
      <c r="X21" s="520"/>
      <c r="Y21" s="500"/>
      <c r="Z21" s="504" t="s">
        <v>137</v>
      </c>
      <c r="AA21" s="505"/>
    </row>
    <row r="22" spans="1:17" s="54" customFormat="1" ht="15.75" customHeight="1">
      <c r="A22" s="49"/>
      <c r="B22" s="73"/>
      <c r="C22" s="73"/>
      <c r="D22" s="73"/>
      <c r="E22" s="73"/>
      <c r="F22" s="50"/>
      <c r="G22" s="50"/>
      <c r="H22" s="1"/>
      <c r="I22" s="1"/>
      <c r="J22" s="50"/>
      <c r="K22" s="50"/>
      <c r="M22" s="1"/>
      <c r="N22" s="69"/>
      <c r="O22" s="50"/>
      <c r="P22" s="50"/>
      <c r="Q22" s="49"/>
    </row>
    <row r="23" spans="1:27" s="53" customFormat="1" ht="11.25" customHeight="1">
      <c r="A23" s="49"/>
      <c r="B23" s="49"/>
      <c r="C23" s="506" t="s">
        <v>140</v>
      </c>
      <c r="D23" s="507"/>
      <c r="E23" s="510" t="s">
        <v>141</v>
      </c>
      <c r="F23" s="492" t="s">
        <v>142</v>
      </c>
      <c r="G23" s="493"/>
      <c r="H23" s="493"/>
      <c r="I23" s="494"/>
      <c r="J23" s="492" t="s">
        <v>143</v>
      </c>
      <c r="K23" s="493"/>
      <c r="L23" s="493"/>
      <c r="M23" s="493"/>
      <c r="N23" s="493"/>
      <c r="O23" s="493"/>
      <c r="P23" s="493"/>
      <c r="Q23" s="493"/>
      <c r="R23" s="493"/>
      <c r="S23" s="494"/>
      <c r="T23" s="490" t="s">
        <v>144</v>
      </c>
      <c r="U23" s="492" t="s">
        <v>145</v>
      </c>
      <c r="V23" s="493"/>
      <c r="W23" s="494"/>
      <c r="X23" s="492" t="s">
        <v>146</v>
      </c>
      <c r="Y23" s="493"/>
      <c r="Z23" s="493"/>
      <c r="AA23" s="494"/>
    </row>
    <row r="24" spans="1:27" s="53" customFormat="1" ht="15.75" customHeight="1">
      <c r="A24" s="58"/>
      <c r="B24" s="1"/>
      <c r="C24" s="508"/>
      <c r="D24" s="509"/>
      <c r="E24" s="511"/>
      <c r="F24" s="495"/>
      <c r="G24" s="496"/>
      <c r="H24" s="496"/>
      <c r="I24" s="497"/>
      <c r="J24" s="495"/>
      <c r="K24" s="496"/>
      <c r="L24" s="496"/>
      <c r="M24" s="496"/>
      <c r="N24" s="496"/>
      <c r="O24" s="496"/>
      <c r="P24" s="496"/>
      <c r="Q24" s="496"/>
      <c r="R24" s="496"/>
      <c r="S24" s="497"/>
      <c r="T24" s="491"/>
      <c r="U24" s="495"/>
      <c r="V24" s="496"/>
      <c r="W24" s="497"/>
      <c r="X24" s="495"/>
      <c r="Y24" s="496"/>
      <c r="Z24" s="496"/>
      <c r="AA24" s="497"/>
    </row>
    <row r="25" spans="1:27" s="53" customFormat="1" ht="10.5" customHeight="1">
      <c r="A25" s="49"/>
      <c r="B25" s="49"/>
      <c r="C25" s="519"/>
      <c r="D25" s="518"/>
      <c r="E25" s="119"/>
      <c r="F25" s="554"/>
      <c r="G25" s="555"/>
      <c r="H25" s="555"/>
      <c r="I25" s="556"/>
      <c r="J25" s="118"/>
      <c r="K25" s="105"/>
      <c r="L25" s="105"/>
      <c r="M25" s="105"/>
      <c r="N25" s="105"/>
      <c r="O25" s="105"/>
      <c r="P25" s="105"/>
      <c r="Q25" s="105"/>
      <c r="R25" s="105"/>
      <c r="S25" s="113"/>
      <c r="T25" s="144"/>
      <c r="U25" s="585"/>
      <c r="V25" s="502"/>
      <c r="W25" s="586"/>
      <c r="X25" s="554"/>
      <c r="Y25" s="502"/>
      <c r="Z25" s="502"/>
      <c r="AA25" s="586"/>
    </row>
    <row r="26" spans="1:27" s="53" customFormat="1" ht="10.5" customHeight="1">
      <c r="A26" s="46"/>
      <c r="B26" s="46"/>
      <c r="C26" s="542" t="str">
        <f>IF('VIB SPEC SHEET'!AE6="","1.000",'VIB SPEC SHEET'!AE6)</f>
        <v>1.000</v>
      </c>
      <c r="D26" s="543"/>
      <c r="E26" s="117">
        <f>IF('VIB SPEC SHEET'!AF6="","",'VIB SPEC SHEET'!AF6)</f>
      </c>
      <c r="F26" s="557"/>
      <c r="G26" s="558"/>
      <c r="H26" s="558"/>
      <c r="I26" s="559"/>
      <c r="J26" s="577" t="str">
        <f>CONCATENATE(IF('VIB SPEC SHEET'!G23="MECHANICAL",'VIB SPEC SHEET'!G24,IF('VIB SPEC SHEET'!G24="VMC","VMC",'VIB SPEC SHEET'!O24)),IF('VIB SPEC SHEET'!G24="VMC"," "," CONVEYOR  "),'VIB SPEC SHEET'!AA24," / ",'VIB SPEC SHEET'!AG24)</f>
        <v> CONVEYOR   / </v>
      </c>
      <c r="K26" s="570"/>
      <c r="L26" s="570"/>
      <c r="M26" s="570"/>
      <c r="N26" s="570"/>
      <c r="O26" s="546"/>
      <c r="P26" s="129" t="s">
        <v>149</v>
      </c>
      <c r="Q26" s="568"/>
      <c r="R26" s="568"/>
      <c r="S26" s="114" t="s">
        <v>150</v>
      </c>
      <c r="T26" s="145"/>
      <c r="U26" s="557"/>
      <c r="V26" s="524"/>
      <c r="W26" s="525"/>
      <c r="X26" s="557"/>
      <c r="Y26" s="524"/>
      <c r="Z26" s="524"/>
      <c r="AA26" s="525"/>
    </row>
    <row r="27" spans="1:27" s="53" customFormat="1" ht="10.5" customHeight="1">
      <c r="A27" s="46"/>
      <c r="B27" s="46"/>
      <c r="C27" s="544"/>
      <c r="D27" s="545"/>
      <c r="E27" s="120"/>
      <c r="F27" s="557"/>
      <c r="G27" s="558"/>
      <c r="H27" s="558"/>
      <c r="I27" s="559"/>
      <c r="J27" s="577" t="str">
        <f>CONCATENATE('VIB SPEC SHEET'!D31," (W) X ",'VIB SPEC SHEET'!J31," (L) ",IF('VIB SPEC SHEET'!G34="OTHER",'VIB SPEC SHEET'!AB34,'VIB SPEC SHEET'!G34),"  ",'VIB SPEC SHEET'!AB31)</f>
        <v> (W) X  (L)   </v>
      </c>
      <c r="K27" s="578"/>
      <c r="L27" s="578"/>
      <c r="M27" s="578"/>
      <c r="N27" s="578"/>
      <c r="O27" s="578"/>
      <c r="P27" s="578"/>
      <c r="Q27" s="578"/>
      <c r="R27" s="578"/>
      <c r="S27" s="114"/>
      <c r="T27" s="145"/>
      <c r="U27" s="557"/>
      <c r="V27" s="524"/>
      <c r="W27" s="525"/>
      <c r="X27" s="557"/>
      <c r="Y27" s="524"/>
      <c r="Z27" s="524"/>
      <c r="AA27" s="525"/>
    </row>
    <row r="28" spans="1:27" s="53" customFormat="1" ht="10.5" customHeight="1">
      <c r="A28" s="49"/>
      <c r="B28" s="49"/>
      <c r="C28" s="548"/>
      <c r="D28" s="545"/>
      <c r="E28" s="121"/>
      <c r="F28" s="557"/>
      <c r="G28" s="558"/>
      <c r="H28" s="558"/>
      <c r="I28" s="559"/>
      <c r="J28" s="569" t="str">
        <f>CONCATENATE("INTERIOR: ",IF(OR('VIB SPEC SHEET'!G37="SANITARY 1",'VIB SPEC SHEET'!G37="SANITARY 2"),CONCATENATE('VIB SPEC SHEET'!G37," WELD w/ "),""),IF('VIB SPEC SHEET'!G41="N/A","NO",IF('VIB SPEC SHEET'!G41="OTHER",'VIB SPEC SHEET'!G42,'VIB SPEC SHEET'!G41))," FINISH ")</f>
        <v>INTERIOR:  FINISH </v>
      </c>
      <c r="K28" s="570"/>
      <c r="L28" s="570"/>
      <c r="M28" s="570"/>
      <c r="N28" s="570"/>
      <c r="O28" s="570"/>
      <c r="P28" s="570"/>
      <c r="Q28" s="570"/>
      <c r="R28" s="570"/>
      <c r="S28" s="571"/>
      <c r="T28" s="145"/>
      <c r="U28" s="557"/>
      <c r="V28" s="524"/>
      <c r="W28" s="525"/>
      <c r="X28" s="557"/>
      <c r="Y28" s="524"/>
      <c r="Z28" s="524"/>
      <c r="AA28" s="525"/>
    </row>
    <row r="29" spans="1:27" s="53" customFormat="1" ht="10.5" customHeight="1">
      <c r="A29" s="58"/>
      <c r="B29" s="70"/>
      <c r="C29" s="549"/>
      <c r="D29" s="545"/>
      <c r="E29" s="122"/>
      <c r="F29" s="560"/>
      <c r="G29" s="558"/>
      <c r="H29" s="558"/>
      <c r="I29" s="559"/>
      <c r="J29" s="569" t="str">
        <f>CONCATENATE("EXTERIOR:"," ",IF(OR('VIB SPEC SHEET'!AE37="SANITARY 1",'VIB SPEC SHEET'!AE37="SANITARY 2"),CONCATENATE('VIB SPEC SHEET'!AE37," WELD w/ "),""),IF('VIB SPEC SHEET'!AE41="N/A","NO",IF('VIB SPEC SHEET'!AE41="OTHER",'VIB SPEC SHEET'!AA42,'VIB SPEC SHEET'!AE41))," FINISH ")</f>
        <v>EXTERIOR:  FINISH </v>
      </c>
      <c r="K29" s="570"/>
      <c r="L29" s="570"/>
      <c r="M29" s="570"/>
      <c r="N29" s="570"/>
      <c r="O29" s="570"/>
      <c r="P29" s="570"/>
      <c r="Q29" s="570"/>
      <c r="R29" s="570"/>
      <c r="S29" s="571"/>
      <c r="T29" s="145"/>
      <c r="U29" s="557"/>
      <c r="V29" s="524"/>
      <c r="W29" s="525"/>
      <c r="X29" s="557"/>
      <c r="Y29" s="524"/>
      <c r="Z29" s="524"/>
      <c r="AA29" s="525"/>
    </row>
    <row r="30" spans="1:27" s="53" customFormat="1" ht="10.5" customHeight="1">
      <c r="A30" s="49"/>
      <c r="B30" s="49"/>
      <c r="C30" s="548"/>
      <c r="D30" s="545"/>
      <c r="E30" s="121"/>
      <c r="F30" s="561"/>
      <c r="G30" s="558"/>
      <c r="H30" s="558"/>
      <c r="I30" s="559"/>
      <c r="J30" s="599" t="str">
        <f>CONCATENATE(IF('VIB SPEC SHEET'!G43="OTHER",'VIB SPEC SHEET'!AA43,IF('VIB SPEC SHEET'!G43="NONE","NO PAINT",'VIB SPEC SHEET'!G43))," w/ ",IF('VIB SPEC SHEET'!O47=TRUE,"NO SPECIAL SURFACE COATING",IF('VIB SPEC SHEET'!G48="N/A","NO SPECIAL COATING ON INTERIOR",CONCATENATE("INTERIOR ",IF('VIB SPEC SHEET'!G48="OTHER",'VIB SPEC SHEET'!G49,'VIB SPEC SHEET'!G48)," COATING AND ",IF('VIB SPEC SHEET'!AD48="N/A","NO SPECIAL COATING ON EXTERIOR",CONCATENATE("EXTERIOR ",IF('VIB SPEC SHEET'!AD48="OTHER",'VIB SPEC SHEET'!AD49,'VIB SPEC SHEET'!AD48)," COATING"))))))</f>
        <v> w/ INTERIOR  COATING AND EXTERIOR  COATING</v>
      </c>
      <c r="K30" s="600"/>
      <c r="L30" s="600"/>
      <c r="M30" s="600"/>
      <c r="N30" s="600"/>
      <c r="O30" s="600"/>
      <c r="P30" s="600"/>
      <c r="Q30" s="601"/>
      <c r="R30" s="601"/>
      <c r="S30" s="602"/>
      <c r="T30" s="145"/>
      <c r="U30" s="557"/>
      <c r="V30" s="524"/>
      <c r="W30" s="525"/>
      <c r="X30" s="557"/>
      <c r="Y30" s="524"/>
      <c r="Z30" s="524"/>
      <c r="AA30" s="525"/>
    </row>
    <row r="31" spans="1:27" s="53" customFormat="1" ht="10.5" customHeight="1">
      <c r="A31" s="49"/>
      <c r="B31" s="49"/>
      <c r="C31" s="548"/>
      <c r="D31" s="545"/>
      <c r="E31" s="121"/>
      <c r="F31" s="561"/>
      <c r="G31" s="558"/>
      <c r="H31" s="558"/>
      <c r="I31" s="559"/>
      <c r="J31" s="603"/>
      <c r="K31" s="601"/>
      <c r="L31" s="601"/>
      <c r="M31" s="601"/>
      <c r="N31" s="601"/>
      <c r="O31" s="601"/>
      <c r="P31" s="601"/>
      <c r="Q31" s="601"/>
      <c r="R31" s="601"/>
      <c r="S31" s="602"/>
      <c r="T31" s="145"/>
      <c r="U31" s="557"/>
      <c r="V31" s="524"/>
      <c r="W31" s="525"/>
      <c r="X31" s="557"/>
      <c r="Y31" s="524"/>
      <c r="Z31" s="524"/>
      <c r="AA31" s="525"/>
    </row>
    <row r="32" spans="1:27" s="53" customFormat="1" ht="10.5" customHeight="1">
      <c r="A32" s="49"/>
      <c r="B32" s="49"/>
      <c r="C32" s="548"/>
      <c r="D32" s="545"/>
      <c r="E32" s="121"/>
      <c r="F32" s="561"/>
      <c r="G32" s="558"/>
      <c r="H32" s="558"/>
      <c r="I32" s="559"/>
      <c r="J32" s="604"/>
      <c r="K32" s="522"/>
      <c r="L32" s="522"/>
      <c r="M32" s="522"/>
      <c r="N32" s="522"/>
      <c r="O32" s="522"/>
      <c r="P32" s="522"/>
      <c r="Q32" s="522"/>
      <c r="R32" s="522"/>
      <c r="S32" s="605"/>
      <c r="T32" s="145"/>
      <c r="U32" s="557"/>
      <c r="V32" s="524"/>
      <c r="W32" s="525"/>
      <c r="X32" s="557"/>
      <c r="Y32" s="524"/>
      <c r="Z32" s="524"/>
      <c r="AA32" s="525"/>
    </row>
    <row r="33" spans="1:27" s="53" customFormat="1" ht="10.5" customHeight="1">
      <c r="A33" s="49"/>
      <c r="B33" s="49"/>
      <c r="C33" s="548"/>
      <c r="D33" s="545"/>
      <c r="E33" s="121"/>
      <c r="F33" s="561"/>
      <c r="G33" s="558"/>
      <c r="H33" s="558"/>
      <c r="I33" s="559"/>
      <c r="J33" s="115"/>
      <c r="K33" s="123"/>
      <c r="L33" s="123"/>
      <c r="M33" s="123"/>
      <c r="N33" s="123"/>
      <c r="O33" s="123"/>
      <c r="P33" s="123"/>
      <c r="Q33" s="123"/>
      <c r="R33" s="123"/>
      <c r="S33" s="124"/>
      <c r="T33" s="145"/>
      <c r="U33" s="557"/>
      <c r="V33" s="524"/>
      <c r="W33" s="525"/>
      <c r="X33" s="557"/>
      <c r="Y33" s="524"/>
      <c r="Z33" s="524"/>
      <c r="AA33" s="525"/>
    </row>
    <row r="34" spans="1:27" s="53" customFormat="1" ht="10.5" customHeight="1">
      <c r="A34" s="49"/>
      <c r="B34" s="49"/>
      <c r="C34" s="548"/>
      <c r="D34" s="545"/>
      <c r="E34" s="121"/>
      <c r="F34" s="561"/>
      <c r="G34" s="558"/>
      <c r="H34" s="558"/>
      <c r="I34" s="559"/>
      <c r="J34" s="115"/>
      <c r="K34" s="123"/>
      <c r="L34" s="123"/>
      <c r="M34" s="123"/>
      <c r="N34" s="123"/>
      <c r="O34" s="123"/>
      <c r="P34" s="123"/>
      <c r="Q34" s="123"/>
      <c r="R34" s="123"/>
      <c r="S34" s="124"/>
      <c r="T34" s="145"/>
      <c r="U34" s="557"/>
      <c r="V34" s="524"/>
      <c r="W34" s="525"/>
      <c r="X34" s="557"/>
      <c r="Y34" s="524"/>
      <c r="Z34" s="524"/>
      <c r="AA34" s="525"/>
    </row>
    <row r="35" spans="1:27" s="53" customFormat="1" ht="10.5" customHeight="1">
      <c r="A35" s="49"/>
      <c r="B35" s="49"/>
      <c r="C35" s="548"/>
      <c r="D35" s="545"/>
      <c r="E35" s="121"/>
      <c r="F35" s="561"/>
      <c r="G35" s="558"/>
      <c r="H35" s="558"/>
      <c r="I35" s="559"/>
      <c r="J35" s="563"/>
      <c r="K35" s="575"/>
      <c r="L35" s="575"/>
      <c r="M35" s="575"/>
      <c r="N35" s="575"/>
      <c r="O35" s="575"/>
      <c r="P35" s="575"/>
      <c r="Q35" s="575"/>
      <c r="R35" s="575"/>
      <c r="S35" s="576"/>
      <c r="T35" s="145"/>
      <c r="U35" s="557"/>
      <c r="V35" s="524"/>
      <c r="W35" s="525"/>
      <c r="X35" s="557"/>
      <c r="Y35" s="524"/>
      <c r="Z35" s="524"/>
      <c r="AA35" s="525"/>
    </row>
    <row r="36" spans="1:27" s="53" customFormat="1" ht="10.5" customHeight="1">
      <c r="A36" s="49"/>
      <c r="B36" s="49"/>
      <c r="C36" s="548"/>
      <c r="D36" s="545"/>
      <c r="E36" s="121"/>
      <c r="F36" s="561"/>
      <c r="G36" s="558"/>
      <c r="H36" s="558"/>
      <c r="I36" s="559"/>
      <c r="J36" s="563"/>
      <c r="K36" s="575"/>
      <c r="L36" s="575"/>
      <c r="M36" s="575"/>
      <c r="N36" s="575"/>
      <c r="O36" s="575"/>
      <c r="P36" s="575"/>
      <c r="Q36" s="575"/>
      <c r="R36" s="575"/>
      <c r="S36" s="576"/>
      <c r="T36" s="145"/>
      <c r="U36" s="557"/>
      <c r="V36" s="524"/>
      <c r="W36" s="525"/>
      <c r="X36" s="557"/>
      <c r="Y36" s="524"/>
      <c r="Z36" s="524"/>
      <c r="AA36" s="525"/>
    </row>
    <row r="37" spans="1:27" s="53" customFormat="1" ht="10.5" customHeight="1">
      <c r="A37" s="46"/>
      <c r="B37" s="46"/>
      <c r="C37" s="550"/>
      <c r="D37" s="545"/>
      <c r="E37" s="125"/>
      <c r="F37" s="579"/>
      <c r="G37" s="558"/>
      <c r="H37" s="558"/>
      <c r="I37" s="559"/>
      <c r="J37" s="563"/>
      <c r="K37" s="575"/>
      <c r="L37" s="575"/>
      <c r="M37" s="575"/>
      <c r="N37" s="575"/>
      <c r="O37" s="575"/>
      <c r="P37" s="575"/>
      <c r="Q37" s="575"/>
      <c r="R37" s="575"/>
      <c r="S37" s="576"/>
      <c r="T37" s="145"/>
      <c r="U37" s="557"/>
      <c r="V37" s="524"/>
      <c r="W37" s="525"/>
      <c r="X37" s="557"/>
      <c r="Y37" s="524"/>
      <c r="Z37" s="524"/>
      <c r="AA37" s="525"/>
    </row>
    <row r="38" spans="1:27" s="53" customFormat="1" ht="10.5" customHeight="1">
      <c r="A38" s="57"/>
      <c r="B38" s="109"/>
      <c r="C38" s="551"/>
      <c r="D38" s="545"/>
      <c r="E38" s="117"/>
      <c r="F38" s="562"/>
      <c r="G38" s="558"/>
      <c r="H38" s="558"/>
      <c r="I38" s="559"/>
      <c r="J38" s="563"/>
      <c r="K38" s="575"/>
      <c r="L38" s="575"/>
      <c r="M38" s="575"/>
      <c r="N38" s="575"/>
      <c r="O38" s="575"/>
      <c r="P38" s="575"/>
      <c r="Q38" s="575"/>
      <c r="R38" s="575"/>
      <c r="S38" s="576"/>
      <c r="T38" s="145"/>
      <c r="U38" s="557"/>
      <c r="V38" s="524"/>
      <c r="W38" s="525"/>
      <c r="X38" s="557"/>
      <c r="Y38" s="524"/>
      <c r="Z38" s="524"/>
      <c r="AA38" s="525"/>
    </row>
    <row r="39" spans="1:27" s="53" customFormat="1" ht="10.5" customHeight="1">
      <c r="A39" s="58"/>
      <c r="B39" s="76"/>
      <c r="C39" s="544"/>
      <c r="D39" s="545"/>
      <c r="E39" s="120"/>
      <c r="F39" s="557"/>
      <c r="G39" s="558"/>
      <c r="H39" s="558"/>
      <c r="I39" s="559"/>
      <c r="J39" s="563"/>
      <c r="K39" s="575"/>
      <c r="L39" s="575"/>
      <c r="M39" s="575"/>
      <c r="N39" s="575"/>
      <c r="O39" s="575"/>
      <c r="P39" s="575"/>
      <c r="Q39" s="575"/>
      <c r="R39" s="575"/>
      <c r="S39" s="576"/>
      <c r="T39" s="145"/>
      <c r="U39" s="557"/>
      <c r="V39" s="524"/>
      <c r="W39" s="525"/>
      <c r="X39" s="557"/>
      <c r="Y39" s="524"/>
      <c r="Z39" s="524"/>
      <c r="AA39" s="525"/>
    </row>
    <row r="40" spans="1:27" s="53" customFormat="1" ht="10.5" customHeight="1">
      <c r="A40" s="49"/>
      <c r="B40" s="49"/>
      <c r="C40" s="548"/>
      <c r="D40" s="545"/>
      <c r="E40" s="121"/>
      <c r="F40" s="557"/>
      <c r="G40" s="558"/>
      <c r="H40" s="558"/>
      <c r="I40" s="559"/>
      <c r="J40" s="563"/>
      <c r="K40" s="564"/>
      <c r="L40" s="564"/>
      <c r="M40" s="564"/>
      <c r="N40" s="564"/>
      <c r="O40" s="564"/>
      <c r="P40" s="564"/>
      <c r="Q40" s="564"/>
      <c r="R40" s="564"/>
      <c r="S40" s="565"/>
      <c r="T40" s="145"/>
      <c r="U40" s="557"/>
      <c r="V40" s="524"/>
      <c r="W40" s="525"/>
      <c r="X40" s="557"/>
      <c r="Y40" s="524"/>
      <c r="Z40" s="524"/>
      <c r="AA40" s="525"/>
    </row>
    <row r="41" spans="1:27" s="53" customFormat="1" ht="10.5" customHeight="1">
      <c r="A41" s="46"/>
      <c r="B41" s="50"/>
      <c r="C41" s="544"/>
      <c r="D41" s="545"/>
      <c r="E41" s="120"/>
      <c r="F41" s="557"/>
      <c r="G41" s="558"/>
      <c r="H41" s="558"/>
      <c r="I41" s="559"/>
      <c r="J41" s="566"/>
      <c r="K41" s="564"/>
      <c r="L41" s="564"/>
      <c r="M41" s="564"/>
      <c r="N41" s="564"/>
      <c r="O41" s="564"/>
      <c r="P41" s="564"/>
      <c r="Q41" s="564"/>
      <c r="R41" s="564"/>
      <c r="S41" s="565"/>
      <c r="T41" s="145"/>
      <c r="U41" s="557"/>
      <c r="V41" s="524"/>
      <c r="W41" s="525"/>
      <c r="X41" s="557"/>
      <c r="Y41" s="524"/>
      <c r="Z41" s="524"/>
      <c r="AA41" s="525"/>
    </row>
    <row r="42" spans="1:27" s="53" customFormat="1" ht="10.5" customHeight="1">
      <c r="A42" s="46"/>
      <c r="B42" s="50"/>
      <c r="C42" s="116"/>
      <c r="D42" s="114"/>
      <c r="E42" s="120"/>
      <c r="F42" s="141"/>
      <c r="G42" s="142"/>
      <c r="H42" s="142"/>
      <c r="I42" s="143"/>
      <c r="J42" s="566"/>
      <c r="K42" s="564"/>
      <c r="L42" s="564"/>
      <c r="M42" s="564"/>
      <c r="N42" s="564"/>
      <c r="O42" s="564"/>
      <c r="P42" s="564"/>
      <c r="Q42" s="564"/>
      <c r="R42" s="564"/>
      <c r="S42" s="565"/>
      <c r="T42" s="145"/>
      <c r="U42" s="141"/>
      <c r="V42" s="139"/>
      <c r="W42" s="140"/>
      <c r="X42" s="141"/>
      <c r="Y42" s="139"/>
      <c r="Z42" s="139"/>
      <c r="AA42" s="140"/>
    </row>
    <row r="43" spans="1:27" s="53" customFormat="1" ht="10.5" customHeight="1">
      <c r="A43" s="46"/>
      <c r="B43" s="50"/>
      <c r="C43" s="116"/>
      <c r="D43" s="114"/>
      <c r="E43" s="120"/>
      <c r="F43" s="141"/>
      <c r="G43" s="142"/>
      <c r="H43" s="142"/>
      <c r="I43" s="143"/>
      <c r="J43" s="566"/>
      <c r="K43" s="564"/>
      <c r="L43" s="564"/>
      <c r="M43" s="564"/>
      <c r="N43" s="564"/>
      <c r="O43" s="564"/>
      <c r="P43" s="564"/>
      <c r="Q43" s="564"/>
      <c r="R43" s="564"/>
      <c r="S43" s="565"/>
      <c r="T43" s="145"/>
      <c r="U43" s="141"/>
      <c r="V43" s="139"/>
      <c r="W43" s="140"/>
      <c r="X43" s="141"/>
      <c r="Y43" s="139"/>
      <c r="Z43" s="139"/>
      <c r="AA43" s="140"/>
    </row>
    <row r="44" spans="1:27" s="53" customFormat="1" ht="10.5" customHeight="1">
      <c r="A44" s="46"/>
      <c r="B44" s="50"/>
      <c r="C44" s="116"/>
      <c r="D44" s="114"/>
      <c r="E44" s="120"/>
      <c r="F44" s="141"/>
      <c r="G44" s="142"/>
      <c r="H44" s="142"/>
      <c r="I44" s="143"/>
      <c r="J44" s="566"/>
      <c r="K44" s="564"/>
      <c r="L44" s="564"/>
      <c r="M44" s="564"/>
      <c r="N44" s="564"/>
      <c r="O44" s="564"/>
      <c r="P44" s="564"/>
      <c r="Q44" s="564"/>
      <c r="R44" s="564"/>
      <c r="S44" s="565"/>
      <c r="T44" s="145"/>
      <c r="U44" s="141"/>
      <c r="V44" s="139"/>
      <c r="W44" s="140"/>
      <c r="X44" s="141"/>
      <c r="Y44" s="139"/>
      <c r="Z44" s="139"/>
      <c r="AA44" s="140"/>
    </row>
    <row r="45" spans="1:27" s="53" customFormat="1" ht="10.5" customHeight="1">
      <c r="A45" s="46"/>
      <c r="B45" s="50"/>
      <c r="C45" s="116"/>
      <c r="D45" s="114"/>
      <c r="E45" s="120"/>
      <c r="F45" s="141"/>
      <c r="G45" s="142"/>
      <c r="H45" s="142"/>
      <c r="I45" s="143"/>
      <c r="J45" s="566"/>
      <c r="K45" s="564"/>
      <c r="L45" s="564"/>
      <c r="M45" s="564"/>
      <c r="N45" s="564"/>
      <c r="O45" s="564"/>
      <c r="P45" s="564"/>
      <c r="Q45" s="564"/>
      <c r="R45" s="564"/>
      <c r="S45" s="565"/>
      <c r="T45" s="145"/>
      <c r="U45" s="141"/>
      <c r="V45" s="139"/>
      <c r="W45" s="140"/>
      <c r="X45" s="141"/>
      <c r="Y45" s="139"/>
      <c r="Z45" s="139"/>
      <c r="AA45" s="140"/>
    </row>
    <row r="46" spans="1:27" s="53" customFormat="1" ht="10.5" customHeight="1">
      <c r="A46" s="46"/>
      <c r="B46" s="50"/>
      <c r="C46" s="116"/>
      <c r="D46" s="114"/>
      <c r="E46" s="120"/>
      <c r="F46" s="141"/>
      <c r="G46" s="142"/>
      <c r="H46" s="142"/>
      <c r="I46" s="143"/>
      <c r="J46" s="566"/>
      <c r="K46" s="564"/>
      <c r="L46" s="564"/>
      <c r="M46" s="564"/>
      <c r="N46" s="564"/>
      <c r="O46" s="564"/>
      <c r="P46" s="564"/>
      <c r="Q46" s="564"/>
      <c r="R46" s="564"/>
      <c r="S46" s="565"/>
      <c r="T46" s="145"/>
      <c r="U46" s="141"/>
      <c r="V46" s="139"/>
      <c r="W46" s="140"/>
      <c r="X46" s="141"/>
      <c r="Y46" s="139"/>
      <c r="Z46" s="139"/>
      <c r="AA46" s="140"/>
    </row>
    <row r="47" spans="1:27" s="53" customFormat="1" ht="10.5" customHeight="1">
      <c r="A47" s="46"/>
      <c r="B47" s="50"/>
      <c r="C47" s="116"/>
      <c r="D47" s="114"/>
      <c r="E47" s="120"/>
      <c r="F47" s="141"/>
      <c r="G47" s="142"/>
      <c r="H47" s="142"/>
      <c r="I47" s="143"/>
      <c r="J47" s="566"/>
      <c r="K47" s="564"/>
      <c r="L47" s="564"/>
      <c r="M47" s="564"/>
      <c r="N47" s="564"/>
      <c r="O47" s="564"/>
      <c r="P47" s="564"/>
      <c r="Q47" s="564"/>
      <c r="R47" s="564"/>
      <c r="S47" s="565"/>
      <c r="T47" s="145"/>
      <c r="U47" s="141"/>
      <c r="V47" s="139"/>
      <c r="W47" s="140"/>
      <c r="X47" s="141"/>
      <c r="Y47" s="139"/>
      <c r="Z47" s="139"/>
      <c r="AA47" s="140"/>
    </row>
    <row r="48" spans="1:27" s="53" customFormat="1" ht="10.5" customHeight="1">
      <c r="A48" s="46"/>
      <c r="B48" s="50"/>
      <c r="C48" s="116"/>
      <c r="D48" s="114"/>
      <c r="E48" s="120"/>
      <c r="F48" s="141"/>
      <c r="G48" s="142"/>
      <c r="H48" s="142"/>
      <c r="I48" s="143"/>
      <c r="J48" s="566"/>
      <c r="K48" s="564"/>
      <c r="L48" s="564"/>
      <c r="M48" s="564"/>
      <c r="N48" s="564"/>
      <c r="O48" s="564"/>
      <c r="P48" s="564"/>
      <c r="Q48" s="564"/>
      <c r="R48" s="564"/>
      <c r="S48" s="565"/>
      <c r="T48" s="145"/>
      <c r="U48" s="141"/>
      <c r="V48" s="139"/>
      <c r="W48" s="140"/>
      <c r="X48" s="141"/>
      <c r="Y48" s="139"/>
      <c r="Z48" s="139"/>
      <c r="AA48" s="140"/>
    </row>
    <row r="49" spans="1:27" s="53" customFormat="1" ht="10.5" customHeight="1">
      <c r="A49" s="46"/>
      <c r="B49" s="50"/>
      <c r="C49" s="116"/>
      <c r="D49" s="114"/>
      <c r="E49" s="120"/>
      <c r="F49" s="141"/>
      <c r="G49" s="142"/>
      <c r="H49" s="142"/>
      <c r="I49" s="143"/>
      <c r="J49" s="566"/>
      <c r="K49" s="564"/>
      <c r="L49" s="564"/>
      <c r="M49" s="564"/>
      <c r="N49" s="564"/>
      <c r="O49" s="564"/>
      <c r="P49" s="564"/>
      <c r="Q49" s="564"/>
      <c r="R49" s="564"/>
      <c r="S49" s="565"/>
      <c r="T49" s="145"/>
      <c r="U49" s="141"/>
      <c r="V49" s="139"/>
      <c r="W49" s="140"/>
      <c r="X49" s="141"/>
      <c r="Y49" s="139"/>
      <c r="Z49" s="139"/>
      <c r="AA49" s="140"/>
    </row>
    <row r="50" spans="1:27" s="53" customFormat="1" ht="10.5" customHeight="1">
      <c r="A50" s="46"/>
      <c r="B50" s="50"/>
      <c r="C50" s="116"/>
      <c r="D50" s="114"/>
      <c r="E50" s="120"/>
      <c r="F50" s="141"/>
      <c r="G50" s="142"/>
      <c r="H50" s="142"/>
      <c r="I50" s="143"/>
      <c r="J50" s="566"/>
      <c r="K50" s="564"/>
      <c r="L50" s="564"/>
      <c r="M50" s="564"/>
      <c r="N50" s="564"/>
      <c r="O50" s="564"/>
      <c r="P50" s="564"/>
      <c r="Q50" s="564"/>
      <c r="R50" s="564"/>
      <c r="S50" s="565"/>
      <c r="T50" s="145"/>
      <c r="U50" s="141"/>
      <c r="V50" s="139"/>
      <c r="W50" s="140"/>
      <c r="X50" s="141"/>
      <c r="Y50" s="139"/>
      <c r="Z50" s="139"/>
      <c r="AA50" s="140"/>
    </row>
    <row r="51" spans="1:27" s="53" customFormat="1" ht="10.5" customHeight="1">
      <c r="A51" s="46"/>
      <c r="B51" s="50"/>
      <c r="C51" s="116"/>
      <c r="D51" s="114"/>
      <c r="E51" s="120"/>
      <c r="F51" s="141"/>
      <c r="G51" s="142"/>
      <c r="H51" s="142"/>
      <c r="I51" s="143"/>
      <c r="J51" s="566"/>
      <c r="K51" s="564"/>
      <c r="L51" s="564"/>
      <c r="M51" s="564"/>
      <c r="N51" s="564"/>
      <c r="O51" s="564"/>
      <c r="P51" s="564"/>
      <c r="Q51" s="564"/>
      <c r="R51" s="564"/>
      <c r="S51" s="565"/>
      <c r="T51" s="145"/>
      <c r="U51" s="141"/>
      <c r="V51" s="139"/>
      <c r="W51" s="140"/>
      <c r="X51" s="141"/>
      <c r="Y51" s="139"/>
      <c r="Z51" s="139"/>
      <c r="AA51" s="140"/>
    </row>
    <row r="52" spans="1:27" s="53" customFormat="1" ht="10.5" customHeight="1">
      <c r="A52" s="46"/>
      <c r="B52" s="50"/>
      <c r="C52" s="116"/>
      <c r="D52" s="114"/>
      <c r="E52" s="120"/>
      <c r="F52" s="141"/>
      <c r="G52" s="142"/>
      <c r="H52" s="142"/>
      <c r="I52" s="143"/>
      <c r="J52" s="566"/>
      <c r="K52" s="564"/>
      <c r="L52" s="564"/>
      <c r="M52" s="564"/>
      <c r="N52" s="564"/>
      <c r="O52" s="564"/>
      <c r="P52" s="564"/>
      <c r="Q52" s="564"/>
      <c r="R52" s="564"/>
      <c r="S52" s="565"/>
      <c r="T52" s="145"/>
      <c r="U52" s="141"/>
      <c r="V52" s="139"/>
      <c r="W52" s="140"/>
      <c r="X52" s="141"/>
      <c r="Y52" s="139"/>
      <c r="Z52" s="139"/>
      <c r="AA52" s="140"/>
    </row>
    <row r="53" spans="1:27" s="53" customFormat="1" ht="10.5" customHeight="1">
      <c r="A53" s="46"/>
      <c r="B53" s="50"/>
      <c r="C53" s="116"/>
      <c r="D53" s="114"/>
      <c r="E53" s="120"/>
      <c r="F53" s="141"/>
      <c r="G53" s="142"/>
      <c r="H53" s="142"/>
      <c r="I53" s="143"/>
      <c r="J53" s="566"/>
      <c r="K53" s="564"/>
      <c r="L53" s="564"/>
      <c r="M53" s="564"/>
      <c r="N53" s="564"/>
      <c r="O53" s="564"/>
      <c r="P53" s="564"/>
      <c r="Q53" s="564"/>
      <c r="R53" s="564"/>
      <c r="S53" s="565"/>
      <c r="T53" s="145"/>
      <c r="U53" s="141"/>
      <c r="V53" s="139"/>
      <c r="W53" s="140"/>
      <c r="X53" s="141"/>
      <c r="Y53" s="139"/>
      <c r="Z53" s="139"/>
      <c r="AA53" s="140"/>
    </row>
    <row r="54" spans="1:27" s="53" customFormat="1" ht="10.5" customHeight="1">
      <c r="A54" s="46"/>
      <c r="B54" s="50"/>
      <c r="C54" s="116"/>
      <c r="D54" s="114"/>
      <c r="E54" s="120"/>
      <c r="F54" s="141"/>
      <c r="G54" s="142"/>
      <c r="H54" s="142"/>
      <c r="I54" s="143"/>
      <c r="J54" s="566"/>
      <c r="K54" s="564"/>
      <c r="L54" s="564"/>
      <c r="M54" s="564"/>
      <c r="N54" s="564"/>
      <c r="O54" s="564"/>
      <c r="P54" s="564"/>
      <c r="Q54" s="564"/>
      <c r="R54" s="564"/>
      <c r="S54" s="565"/>
      <c r="T54" s="145"/>
      <c r="U54" s="141"/>
      <c r="V54" s="139"/>
      <c r="W54" s="140"/>
      <c r="X54" s="141"/>
      <c r="Y54" s="139"/>
      <c r="Z54" s="139"/>
      <c r="AA54" s="140"/>
    </row>
    <row r="55" spans="1:27" s="53" customFormat="1" ht="10.5" customHeight="1">
      <c r="A55" s="46"/>
      <c r="B55" s="50"/>
      <c r="C55" s="116"/>
      <c r="D55" s="114"/>
      <c r="E55" s="120"/>
      <c r="F55" s="141"/>
      <c r="G55" s="142"/>
      <c r="H55" s="142"/>
      <c r="I55" s="143"/>
      <c r="J55" s="566"/>
      <c r="K55" s="564"/>
      <c r="L55" s="564"/>
      <c r="M55" s="564"/>
      <c r="N55" s="564"/>
      <c r="O55" s="564"/>
      <c r="P55" s="564"/>
      <c r="Q55" s="564"/>
      <c r="R55" s="564"/>
      <c r="S55" s="565"/>
      <c r="T55" s="145"/>
      <c r="U55" s="141"/>
      <c r="V55" s="139"/>
      <c r="W55" s="140"/>
      <c r="X55" s="141"/>
      <c r="Y55" s="139"/>
      <c r="Z55" s="139"/>
      <c r="AA55" s="140"/>
    </row>
    <row r="56" spans="1:27" s="53" customFormat="1" ht="10.5" customHeight="1">
      <c r="A56" s="46"/>
      <c r="B56" s="50"/>
      <c r="C56" s="116"/>
      <c r="D56" s="114"/>
      <c r="E56" s="120"/>
      <c r="F56" s="141"/>
      <c r="G56" s="142"/>
      <c r="H56" s="142"/>
      <c r="I56" s="143"/>
      <c r="J56" s="566"/>
      <c r="K56" s="564"/>
      <c r="L56" s="564"/>
      <c r="M56" s="564"/>
      <c r="N56" s="564"/>
      <c r="O56" s="564"/>
      <c r="P56" s="564"/>
      <c r="Q56" s="564"/>
      <c r="R56" s="564"/>
      <c r="S56" s="565"/>
      <c r="T56" s="145"/>
      <c r="U56" s="141"/>
      <c r="V56" s="139"/>
      <c r="W56" s="140"/>
      <c r="X56" s="141"/>
      <c r="Y56" s="139"/>
      <c r="Z56" s="139"/>
      <c r="AA56" s="140"/>
    </row>
    <row r="57" spans="1:27" s="53" customFormat="1" ht="10.5" customHeight="1">
      <c r="A57" s="46"/>
      <c r="B57" s="50"/>
      <c r="C57" s="116"/>
      <c r="D57" s="114"/>
      <c r="E57" s="120"/>
      <c r="F57" s="141"/>
      <c r="G57" s="142"/>
      <c r="H57" s="142"/>
      <c r="I57" s="143"/>
      <c r="J57" s="566"/>
      <c r="K57" s="564"/>
      <c r="L57" s="564"/>
      <c r="M57" s="564"/>
      <c r="N57" s="564"/>
      <c r="O57" s="564"/>
      <c r="P57" s="564"/>
      <c r="Q57" s="564"/>
      <c r="R57" s="564"/>
      <c r="S57" s="565"/>
      <c r="T57" s="145"/>
      <c r="U57" s="141"/>
      <c r="V57" s="139"/>
      <c r="W57" s="140"/>
      <c r="X57" s="141"/>
      <c r="Y57" s="139"/>
      <c r="Z57" s="139"/>
      <c r="AA57" s="140"/>
    </row>
    <row r="58" spans="1:27" s="53" customFormat="1" ht="10.5" customHeight="1">
      <c r="A58" s="46"/>
      <c r="B58" s="50"/>
      <c r="C58" s="116"/>
      <c r="D58" s="114"/>
      <c r="E58" s="120"/>
      <c r="F58" s="141"/>
      <c r="G58" s="142"/>
      <c r="H58" s="142"/>
      <c r="I58" s="143"/>
      <c r="J58" s="566"/>
      <c r="K58" s="564"/>
      <c r="L58" s="564"/>
      <c r="M58" s="564"/>
      <c r="N58" s="564"/>
      <c r="O58" s="564"/>
      <c r="P58" s="564"/>
      <c r="Q58" s="564"/>
      <c r="R58" s="564"/>
      <c r="S58" s="565"/>
      <c r="T58" s="145"/>
      <c r="U58" s="141"/>
      <c r="V58" s="139"/>
      <c r="W58" s="140"/>
      <c r="X58" s="141"/>
      <c r="Y58" s="139"/>
      <c r="Z58" s="139"/>
      <c r="AA58" s="140"/>
    </row>
    <row r="59" spans="1:27" s="53" customFormat="1" ht="10.5" customHeight="1">
      <c r="A59" s="46"/>
      <c r="B59" s="50"/>
      <c r="C59" s="116"/>
      <c r="D59" s="114"/>
      <c r="E59" s="120"/>
      <c r="F59" s="141"/>
      <c r="G59" s="142"/>
      <c r="H59" s="142"/>
      <c r="I59" s="143"/>
      <c r="J59" s="566"/>
      <c r="K59" s="564"/>
      <c r="L59" s="564"/>
      <c r="M59" s="564"/>
      <c r="N59" s="564"/>
      <c r="O59" s="564"/>
      <c r="P59" s="564"/>
      <c r="Q59" s="564"/>
      <c r="R59" s="564"/>
      <c r="S59" s="565"/>
      <c r="T59" s="145"/>
      <c r="U59" s="141"/>
      <c r="V59" s="139"/>
      <c r="W59" s="140"/>
      <c r="X59" s="141"/>
      <c r="Y59" s="139"/>
      <c r="Z59" s="139"/>
      <c r="AA59" s="140"/>
    </row>
    <row r="60" spans="1:27" s="53" customFormat="1" ht="10.5" customHeight="1">
      <c r="A60" s="58"/>
      <c r="B60" s="58"/>
      <c r="C60" s="549"/>
      <c r="D60" s="567"/>
      <c r="E60" s="122"/>
      <c r="F60" s="557"/>
      <c r="G60" s="524"/>
      <c r="H60" s="524"/>
      <c r="I60" s="525"/>
      <c r="J60" s="566"/>
      <c r="K60" s="564"/>
      <c r="L60" s="564"/>
      <c r="M60" s="564"/>
      <c r="N60" s="564"/>
      <c r="O60" s="564"/>
      <c r="P60" s="564"/>
      <c r="Q60" s="564"/>
      <c r="R60" s="564"/>
      <c r="S60" s="565"/>
      <c r="T60" s="145"/>
      <c r="U60" s="557"/>
      <c r="V60" s="524"/>
      <c r="W60" s="525"/>
      <c r="X60" s="557"/>
      <c r="Y60" s="524"/>
      <c r="Z60" s="524"/>
      <c r="AA60" s="525"/>
    </row>
    <row r="61" spans="1:27" s="53" customFormat="1" ht="10.5" customHeight="1">
      <c r="A61" s="58"/>
      <c r="B61" s="58"/>
      <c r="C61" s="549"/>
      <c r="D61" s="567"/>
      <c r="E61" s="122"/>
      <c r="F61" s="557"/>
      <c r="G61" s="524"/>
      <c r="H61" s="524"/>
      <c r="I61" s="525"/>
      <c r="J61" s="566"/>
      <c r="K61" s="564"/>
      <c r="L61" s="564"/>
      <c r="M61" s="564"/>
      <c r="N61" s="564"/>
      <c r="O61" s="564"/>
      <c r="P61" s="564"/>
      <c r="Q61" s="564"/>
      <c r="R61" s="564"/>
      <c r="S61" s="565"/>
      <c r="T61" s="145"/>
      <c r="U61" s="557"/>
      <c r="V61" s="524"/>
      <c r="W61" s="525"/>
      <c r="X61" s="557"/>
      <c r="Y61" s="524"/>
      <c r="Z61" s="524"/>
      <c r="AA61" s="525"/>
    </row>
    <row r="62" spans="1:27" s="53" customFormat="1" ht="10.5" customHeight="1">
      <c r="A62" s="58"/>
      <c r="B62" s="58"/>
      <c r="C62" s="549"/>
      <c r="D62" s="567"/>
      <c r="E62" s="122"/>
      <c r="F62" s="557"/>
      <c r="G62" s="524"/>
      <c r="H62" s="524"/>
      <c r="I62" s="525"/>
      <c r="J62" s="563"/>
      <c r="K62" s="564"/>
      <c r="L62" s="564"/>
      <c r="M62" s="564"/>
      <c r="N62" s="564"/>
      <c r="O62" s="564"/>
      <c r="P62" s="564"/>
      <c r="Q62" s="564"/>
      <c r="R62" s="564"/>
      <c r="S62" s="565"/>
      <c r="T62" s="145"/>
      <c r="U62" s="557"/>
      <c r="V62" s="524"/>
      <c r="W62" s="525"/>
      <c r="X62" s="557"/>
      <c r="Y62" s="524"/>
      <c r="Z62" s="524"/>
      <c r="AA62" s="525"/>
    </row>
    <row r="63" spans="1:27" s="53" customFormat="1" ht="10.5" customHeight="1">
      <c r="A63" s="58"/>
      <c r="B63" s="58"/>
      <c r="C63" s="549"/>
      <c r="D63" s="567"/>
      <c r="E63" s="122"/>
      <c r="F63" s="557"/>
      <c r="G63" s="524"/>
      <c r="H63" s="524"/>
      <c r="I63" s="525"/>
      <c r="J63" s="566"/>
      <c r="K63" s="564"/>
      <c r="L63" s="564"/>
      <c r="M63" s="564"/>
      <c r="N63" s="564"/>
      <c r="O63" s="564"/>
      <c r="P63" s="564"/>
      <c r="Q63" s="564"/>
      <c r="R63" s="564"/>
      <c r="S63" s="565"/>
      <c r="T63" s="145"/>
      <c r="U63" s="557"/>
      <c r="V63" s="524"/>
      <c r="W63" s="525"/>
      <c r="X63" s="557"/>
      <c r="Y63" s="524"/>
      <c r="Z63" s="524"/>
      <c r="AA63" s="525"/>
    </row>
    <row r="64" spans="1:27" s="53" customFormat="1" ht="10.5" customHeight="1">
      <c r="A64" s="58"/>
      <c r="B64" s="58"/>
      <c r="C64" s="549"/>
      <c r="D64" s="567"/>
      <c r="E64" s="122"/>
      <c r="F64" s="557"/>
      <c r="G64" s="524"/>
      <c r="H64" s="524"/>
      <c r="I64" s="525"/>
      <c r="J64" s="566"/>
      <c r="K64" s="564"/>
      <c r="L64" s="564"/>
      <c r="M64" s="564"/>
      <c r="N64" s="564"/>
      <c r="O64" s="564"/>
      <c r="P64" s="564"/>
      <c r="Q64" s="564"/>
      <c r="R64" s="564"/>
      <c r="S64" s="565"/>
      <c r="T64" s="145"/>
      <c r="U64" s="557"/>
      <c r="V64" s="524"/>
      <c r="W64" s="525"/>
      <c r="X64" s="557"/>
      <c r="Y64" s="524"/>
      <c r="Z64" s="524"/>
      <c r="AA64" s="525"/>
    </row>
    <row r="65" spans="1:27" s="53" customFormat="1" ht="10.5" customHeight="1">
      <c r="A65" s="58"/>
      <c r="B65" s="58"/>
      <c r="C65" s="549"/>
      <c r="D65" s="567"/>
      <c r="E65" s="122"/>
      <c r="F65" s="557"/>
      <c r="G65" s="524"/>
      <c r="H65" s="524"/>
      <c r="I65" s="525"/>
      <c r="J65" s="566"/>
      <c r="K65" s="564"/>
      <c r="L65" s="564"/>
      <c r="M65" s="564"/>
      <c r="N65" s="564"/>
      <c r="O65" s="564"/>
      <c r="P65" s="564"/>
      <c r="Q65" s="564"/>
      <c r="R65" s="564"/>
      <c r="S65" s="565"/>
      <c r="T65" s="145"/>
      <c r="U65" s="557"/>
      <c r="V65" s="524"/>
      <c r="W65" s="525"/>
      <c r="X65" s="557"/>
      <c r="Y65" s="524"/>
      <c r="Z65" s="524"/>
      <c r="AA65" s="525"/>
    </row>
    <row r="66" spans="1:27" s="53" customFormat="1" ht="10.5" customHeight="1">
      <c r="A66" s="58"/>
      <c r="B66" s="58"/>
      <c r="C66" s="549"/>
      <c r="D66" s="567"/>
      <c r="E66" s="122"/>
      <c r="F66" s="557"/>
      <c r="G66" s="524"/>
      <c r="H66" s="524"/>
      <c r="I66" s="525"/>
      <c r="J66" s="566"/>
      <c r="K66" s="564"/>
      <c r="L66" s="564"/>
      <c r="M66" s="564"/>
      <c r="N66" s="564"/>
      <c r="O66" s="564"/>
      <c r="P66" s="564"/>
      <c r="Q66" s="564"/>
      <c r="R66" s="564"/>
      <c r="S66" s="565"/>
      <c r="T66" s="145"/>
      <c r="U66" s="557"/>
      <c r="V66" s="524"/>
      <c r="W66" s="525"/>
      <c r="X66" s="557"/>
      <c r="Y66" s="524"/>
      <c r="Z66" s="524"/>
      <c r="AA66" s="525"/>
    </row>
    <row r="67" spans="1:27" s="53" customFormat="1" ht="10.5" customHeight="1">
      <c r="A67" s="58"/>
      <c r="B67" s="58"/>
      <c r="C67" s="549"/>
      <c r="D67" s="567"/>
      <c r="E67" s="122"/>
      <c r="F67" s="557"/>
      <c r="G67" s="524"/>
      <c r="H67" s="524"/>
      <c r="I67" s="525"/>
      <c r="J67" s="566"/>
      <c r="K67" s="564"/>
      <c r="L67" s="564"/>
      <c r="M67" s="564"/>
      <c r="N67" s="564"/>
      <c r="O67" s="564"/>
      <c r="P67" s="564"/>
      <c r="Q67" s="564"/>
      <c r="R67" s="564"/>
      <c r="S67" s="565"/>
      <c r="T67" s="145"/>
      <c r="U67" s="557"/>
      <c r="V67" s="524"/>
      <c r="W67" s="525"/>
      <c r="X67" s="557"/>
      <c r="Y67" s="524"/>
      <c r="Z67" s="524"/>
      <c r="AA67" s="525"/>
    </row>
    <row r="68" spans="1:27" s="53" customFormat="1" ht="10.5" customHeight="1">
      <c r="A68" s="58"/>
      <c r="B68" s="58"/>
      <c r="C68" s="549"/>
      <c r="D68" s="567"/>
      <c r="E68" s="122"/>
      <c r="F68" s="557"/>
      <c r="G68" s="524"/>
      <c r="H68" s="524"/>
      <c r="I68" s="525"/>
      <c r="J68" s="566"/>
      <c r="K68" s="564"/>
      <c r="L68" s="564"/>
      <c r="M68" s="564"/>
      <c r="N68" s="564"/>
      <c r="O68" s="564"/>
      <c r="P68" s="564"/>
      <c r="Q68" s="564"/>
      <c r="R68" s="564"/>
      <c r="S68" s="565"/>
      <c r="T68" s="145"/>
      <c r="U68" s="557"/>
      <c r="V68" s="524"/>
      <c r="W68" s="525"/>
      <c r="X68" s="557"/>
      <c r="Y68" s="524"/>
      <c r="Z68" s="524"/>
      <c r="AA68" s="525"/>
    </row>
    <row r="69" spans="1:27" s="53" customFormat="1" ht="10.5" customHeight="1">
      <c r="A69" s="58"/>
      <c r="B69" s="58"/>
      <c r="C69" s="549"/>
      <c r="D69" s="567"/>
      <c r="E69" s="122"/>
      <c r="F69" s="557"/>
      <c r="G69" s="524"/>
      <c r="H69" s="524"/>
      <c r="I69" s="525"/>
      <c r="J69" s="566"/>
      <c r="K69" s="564"/>
      <c r="L69" s="564"/>
      <c r="M69" s="564"/>
      <c r="N69" s="564"/>
      <c r="O69" s="564"/>
      <c r="P69" s="564"/>
      <c r="Q69" s="564"/>
      <c r="R69" s="564"/>
      <c r="S69" s="565"/>
      <c r="T69" s="145"/>
      <c r="U69" s="557"/>
      <c r="V69" s="524"/>
      <c r="W69" s="525"/>
      <c r="X69" s="557"/>
      <c r="Y69" s="524"/>
      <c r="Z69" s="524"/>
      <c r="AA69" s="525"/>
    </row>
    <row r="70" spans="1:27" s="112" customFormat="1" ht="10.5" customHeight="1">
      <c r="A70" s="111"/>
      <c r="B70" s="111"/>
      <c r="C70" s="584"/>
      <c r="D70" s="567"/>
      <c r="E70" s="126"/>
      <c r="F70" s="583"/>
      <c r="G70" s="524"/>
      <c r="H70" s="524"/>
      <c r="I70" s="525"/>
      <c r="J70" s="566"/>
      <c r="K70" s="564"/>
      <c r="L70" s="564"/>
      <c r="M70" s="564"/>
      <c r="N70" s="564"/>
      <c r="O70" s="564"/>
      <c r="P70" s="564"/>
      <c r="Q70" s="564"/>
      <c r="R70" s="564"/>
      <c r="S70" s="565"/>
      <c r="T70" s="146"/>
      <c r="U70" s="583"/>
      <c r="V70" s="524"/>
      <c r="W70" s="525"/>
      <c r="X70" s="583"/>
      <c r="Y70" s="524"/>
      <c r="Z70" s="524"/>
      <c r="AA70" s="525"/>
    </row>
    <row r="71" spans="1:27" s="53" customFormat="1" ht="10.5" customHeight="1">
      <c r="A71" s="49"/>
      <c r="B71" s="49"/>
      <c r="C71" s="552"/>
      <c r="D71" s="553"/>
      <c r="E71" s="127"/>
      <c r="F71" s="580"/>
      <c r="G71" s="581"/>
      <c r="H71" s="581"/>
      <c r="I71" s="582"/>
      <c r="J71" s="572"/>
      <c r="K71" s="573"/>
      <c r="L71" s="573"/>
      <c r="M71" s="573"/>
      <c r="N71" s="573"/>
      <c r="O71" s="573"/>
      <c r="P71" s="573"/>
      <c r="Q71" s="573"/>
      <c r="R71" s="573"/>
      <c r="S71" s="574"/>
      <c r="T71" s="147"/>
      <c r="U71" s="598"/>
      <c r="V71" s="503"/>
      <c r="W71" s="593"/>
      <c r="X71" s="598"/>
      <c r="Y71" s="503"/>
      <c r="Z71" s="503"/>
      <c r="AA71" s="593"/>
    </row>
    <row r="72" spans="1:27" s="53" customFormat="1" ht="22.5" customHeight="1">
      <c r="A72" s="54"/>
      <c r="B72" s="54"/>
      <c r="C72" s="80"/>
      <c r="D72" s="80"/>
      <c r="E72" s="52"/>
      <c r="F72" s="52"/>
      <c r="G72" s="52"/>
      <c r="H72" s="52"/>
      <c r="I72" s="52"/>
      <c r="J72" s="52"/>
      <c r="K72" s="66"/>
      <c r="L72" s="66"/>
      <c r="M72" s="97"/>
      <c r="N72" s="97"/>
      <c r="O72" s="97"/>
      <c r="P72" s="97"/>
      <c r="Q72" s="97"/>
      <c r="R72" s="80"/>
      <c r="S72" s="80"/>
      <c r="T72" s="80"/>
      <c r="U72" s="80"/>
      <c r="V72" s="80"/>
      <c r="W72" s="80"/>
      <c r="X72" s="80"/>
      <c r="Y72" s="80"/>
      <c r="Z72" s="80"/>
      <c r="AA72" s="80"/>
    </row>
    <row r="73" spans="1:27" s="53" customFormat="1" ht="22.5" customHeight="1">
      <c r="A73" s="49"/>
      <c r="B73" s="49"/>
      <c r="C73" s="606" t="s">
        <v>147</v>
      </c>
      <c r="D73" s="607"/>
      <c r="E73" s="607"/>
      <c r="F73" s="607"/>
      <c r="G73" s="607"/>
      <c r="H73" s="607"/>
      <c r="I73" s="486"/>
      <c r="J73" s="486"/>
      <c r="K73" s="486"/>
      <c r="L73" s="486"/>
      <c r="M73" s="50"/>
      <c r="N73" s="1"/>
      <c r="O73" s="99" t="s">
        <v>148</v>
      </c>
      <c r="P73" s="128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8"/>
    </row>
    <row r="74" spans="1:27" s="53" customFormat="1" ht="22.5" customHeight="1">
      <c r="A74" s="54"/>
      <c r="B74" s="54"/>
      <c r="C74" s="54"/>
      <c r="D74" s="54"/>
      <c r="E74" s="50"/>
      <c r="F74" s="50"/>
      <c r="G74" s="50"/>
      <c r="H74" s="50"/>
      <c r="I74" s="50"/>
      <c r="J74" s="50"/>
      <c r="K74" s="1"/>
      <c r="L74" s="1"/>
      <c r="M74" s="77"/>
      <c r="N74" s="77"/>
      <c r="O74" s="78"/>
      <c r="P74" s="78"/>
      <c r="Q74" s="78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s="53" customFormat="1" ht="22.5" customHeight="1">
      <c r="A75" s="49"/>
      <c r="B75" s="49"/>
      <c r="C75" s="49"/>
      <c r="D75" s="50"/>
      <c r="E75" s="50"/>
      <c r="F75" s="50"/>
      <c r="G75" s="50"/>
      <c r="H75" s="50"/>
      <c r="I75" s="76"/>
      <c r="J75" s="1"/>
      <c r="K75" s="50"/>
      <c r="L75" s="50"/>
      <c r="M75" s="50"/>
      <c r="N75" s="49"/>
      <c r="O75" s="73"/>
      <c r="P75" s="73"/>
      <c r="Q75" s="73"/>
      <c r="R75" s="73"/>
      <c r="S75" s="54"/>
      <c r="T75" s="54"/>
      <c r="U75" s="54"/>
      <c r="V75" s="54"/>
      <c r="W75" s="54"/>
      <c r="X75" s="54"/>
      <c r="Y75" s="54"/>
      <c r="Z75" s="54"/>
      <c r="AA75" s="54"/>
    </row>
    <row r="76" spans="1:27" s="53" customFormat="1" ht="22.5" customHeight="1">
      <c r="A76" s="58"/>
      <c r="B76" s="58"/>
      <c r="C76" s="58"/>
      <c r="D76" s="58"/>
      <c r="E76" s="58"/>
      <c r="F76" s="58"/>
      <c r="G76" s="58"/>
      <c r="H76" s="58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s="53" customFormat="1" ht="22.5" customHeight="1">
      <c r="A77" s="54"/>
      <c r="B77" s="50"/>
      <c r="C77" s="50"/>
      <c r="D77" s="50"/>
      <c r="E77" s="50"/>
      <c r="F77" s="50"/>
      <c r="G77" s="76"/>
      <c r="H77" s="1"/>
      <c r="I77" s="1"/>
      <c r="J77" s="50"/>
      <c r="K77" s="50"/>
      <c r="L77" s="50"/>
      <c r="M77" s="1"/>
      <c r="N77" s="50"/>
      <c r="O77" s="50"/>
      <c r="P77" s="50"/>
      <c r="Q77" s="50"/>
      <c r="R77" s="50"/>
      <c r="S77" s="54"/>
      <c r="T77" s="54"/>
      <c r="U77" s="54"/>
      <c r="V77" s="54"/>
      <c r="W77" s="54"/>
      <c r="X77" s="54"/>
      <c r="Y77" s="54"/>
      <c r="Z77" s="54"/>
      <c r="AA77" s="54"/>
    </row>
    <row r="78" spans="1:27" s="53" customFormat="1" ht="22.5" customHeight="1">
      <c r="A78" s="49"/>
      <c r="B78" s="49"/>
      <c r="C78" s="49"/>
      <c r="D78" s="49"/>
      <c r="E78" s="49"/>
      <c r="F78" s="49"/>
      <c r="G78" s="49"/>
      <c r="H78" s="49"/>
      <c r="I78" s="50"/>
      <c r="J78" s="50"/>
      <c r="K78" s="50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s="53" customFormat="1" ht="22.5" customHeight="1">
      <c r="A79" s="58"/>
      <c r="B79" s="1"/>
      <c r="C79" s="1"/>
      <c r="D79" s="1"/>
      <c r="E79" s="1"/>
      <c r="F79" s="1"/>
      <c r="G79" s="50"/>
      <c r="H79" s="50"/>
      <c r="I79" s="50"/>
      <c r="J79" s="1"/>
      <c r="K79" s="76"/>
      <c r="L79" s="76"/>
      <c r="M79" s="50"/>
      <c r="N79" s="76"/>
      <c r="O79" s="76"/>
      <c r="P79" s="76"/>
      <c r="Q79" s="76"/>
      <c r="R79" s="76"/>
      <c r="S79" s="54"/>
      <c r="T79" s="54"/>
      <c r="U79" s="54"/>
      <c r="V79" s="54"/>
      <c r="W79" s="54"/>
      <c r="X79" s="54"/>
      <c r="Y79" s="54"/>
      <c r="Z79" s="54"/>
      <c r="AA79" s="54"/>
    </row>
    <row r="80" spans="1:18" s="53" customFormat="1" ht="22.5" customHeight="1">
      <c r="A80" s="58"/>
      <c r="B80" s="1"/>
      <c r="C80" s="1"/>
      <c r="D80" s="1"/>
      <c r="E80" s="1"/>
      <c r="F80" s="1"/>
      <c r="G80" s="50"/>
      <c r="H80" s="50"/>
      <c r="I80" s="76"/>
      <c r="J80" s="76"/>
      <c r="K80" s="76"/>
      <c r="L80" s="76"/>
      <c r="M80" s="50"/>
      <c r="N80" s="76"/>
      <c r="O80" s="76"/>
      <c r="P80" s="76"/>
      <c r="Q80" s="76"/>
      <c r="R80" s="76"/>
    </row>
    <row r="81" spans="1:18" s="53" customFormat="1" ht="22.5" customHeight="1">
      <c r="A81" s="46"/>
      <c r="B81" s="46"/>
      <c r="C81" s="46"/>
      <c r="D81" s="46"/>
      <c r="E81" s="46"/>
      <c r="F81" s="46"/>
      <c r="G81" s="46"/>
      <c r="H81" s="76"/>
      <c r="I81" s="76"/>
      <c r="J81" s="76"/>
      <c r="K81" s="50"/>
      <c r="L81" s="102"/>
      <c r="M81" s="102"/>
      <c r="N81" s="102"/>
      <c r="O81" s="102"/>
      <c r="P81" s="102"/>
      <c r="Q81" s="1"/>
      <c r="R81" s="75"/>
    </row>
    <row r="82" spans="1:18" s="53" customFormat="1" ht="22.5" customHeight="1">
      <c r="A82" s="49"/>
      <c r="B82" s="49"/>
      <c r="C82" s="49"/>
      <c r="D82" s="49"/>
      <c r="E82" s="49"/>
      <c r="F82" s="49"/>
      <c r="G82" s="49"/>
      <c r="H82" s="50"/>
      <c r="I82" s="76"/>
      <c r="J82" s="1"/>
      <c r="K82" s="1"/>
      <c r="L82" s="50"/>
      <c r="M82" s="1"/>
      <c r="N82" s="50"/>
      <c r="O82" s="76"/>
      <c r="P82" s="76"/>
      <c r="Q82" s="1"/>
      <c r="R82" s="50"/>
    </row>
    <row r="83" spans="1:18" s="53" customFormat="1" ht="22.5" customHeight="1">
      <c r="A83" s="49"/>
      <c r="B83" s="49"/>
      <c r="C83" s="49"/>
      <c r="D83" s="49"/>
      <c r="E83" s="49"/>
      <c r="F83" s="49"/>
      <c r="G83" s="49"/>
      <c r="H83" s="49"/>
      <c r="I83" s="50"/>
      <c r="J83" s="50"/>
      <c r="K83" s="50"/>
      <c r="L83" s="50"/>
      <c r="M83" s="50"/>
      <c r="N83" s="50"/>
      <c r="O83" s="50"/>
      <c r="P83" s="50"/>
      <c r="Q83" s="50"/>
      <c r="R83" s="76"/>
    </row>
    <row r="84" spans="1:18" s="53" customFormat="1" ht="22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76"/>
    </row>
    <row r="85" spans="1:18" s="53" customFormat="1" ht="22.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76"/>
    </row>
    <row r="86" spans="1:18" s="53" customFormat="1" ht="22.5" customHeight="1">
      <c r="A86" s="50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</row>
    <row r="87" spans="1:18" s="53" customFormat="1" ht="22.5" customHeight="1">
      <c r="A87" s="50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</row>
    <row r="88" spans="1:18" s="53" customFormat="1" ht="22.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76"/>
    </row>
    <row r="89" spans="1:18" s="53" customFormat="1" ht="22.5" customHeight="1">
      <c r="A89" s="49"/>
      <c r="B89" s="76"/>
      <c r="C89" s="76"/>
      <c r="D89" s="76"/>
      <c r="E89" s="76"/>
      <c r="F89" s="76"/>
      <c r="G89" s="76"/>
      <c r="H89" s="76"/>
      <c r="I89" s="76"/>
      <c r="J89" s="76"/>
      <c r="K89" s="54"/>
      <c r="L89" s="54"/>
      <c r="M89" s="54"/>
      <c r="N89" s="54"/>
      <c r="O89" s="54"/>
      <c r="P89" s="54"/>
      <c r="Q89" s="54"/>
      <c r="R89" s="54"/>
    </row>
    <row r="90" spans="1:18" s="53" customFormat="1" ht="22.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1:18" s="53" customFormat="1" ht="22.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1:18" s="53" customFormat="1" ht="22.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1:18" s="53" customFormat="1" ht="22.5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1:18" s="53" customFormat="1" ht="22.5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1:18" s="53" customFormat="1" ht="22.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1:18" s="53" customFormat="1" ht="22.5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1:18" s="53" customFormat="1" ht="22.5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1:18" s="53" customFormat="1" ht="22.5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1:18" s="53" customFormat="1" ht="22.5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1:18" s="53" customFormat="1" ht="22.5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1:18" ht="22.5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1:18" ht="22.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1:18" ht="22.5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1:18" ht="22.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</row>
    <row r="105" spans="1:18" ht="22.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</row>
    <row r="106" spans="1:18" ht="22.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</row>
    <row r="107" spans="1:18" ht="22.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</row>
    <row r="108" spans="1:18" ht="10.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</row>
    <row r="109" spans="1:18" ht="22.5" customHeight="1" hidden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</row>
    <row r="110" spans="1:18" ht="22.5" customHeight="1" hidden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</row>
    <row r="111" spans="1:18" ht="22.5" customHeight="1" hidden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</row>
    <row r="112" spans="1:18" ht="22.5" customHeight="1" hidden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</row>
    <row r="113" spans="1:18" ht="22.5" customHeight="1" hidden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</row>
    <row r="114" spans="1:18" ht="22.5" customHeight="1" hidden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</row>
    <row r="115" spans="1:18" ht="14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</row>
    <row r="116" spans="1:18" ht="14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pans="1:18" ht="14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</row>
    <row r="118" spans="1:18" ht="14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</row>
    <row r="119" spans="1:18" ht="14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4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4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4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4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4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4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4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20.25" customHeight="1">
      <c r="A127" s="49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ht="14.25">
      <c r="A128" s="49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ht="14.25">
      <c r="A129" s="49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ht="14.25">
      <c r="A130" s="49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ht="14.25">
      <c r="A131" s="49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ht="14.25">
      <c r="A132" s="49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ht="14.25">
      <c r="A133" s="49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ht="14.25">
      <c r="A134" s="55"/>
      <c r="B134" s="110"/>
      <c r="C134" s="110"/>
      <c r="D134" s="110"/>
      <c r="E134" s="110"/>
      <c r="F134" s="110"/>
      <c r="G134" s="54"/>
      <c r="H134" s="55"/>
      <c r="I134" s="55"/>
      <c r="J134" s="55"/>
      <c r="K134" s="54"/>
      <c r="L134" s="55"/>
      <c r="M134" s="55"/>
      <c r="N134" s="55"/>
      <c r="O134" s="54"/>
      <c r="P134" s="54"/>
      <c r="Q134" s="55"/>
      <c r="R134" s="55"/>
    </row>
    <row r="135" spans="1:18" ht="14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4"/>
      <c r="L135" s="50"/>
      <c r="M135" s="50"/>
      <c r="N135" s="50"/>
      <c r="O135" s="54"/>
      <c r="P135" s="54"/>
      <c r="Q135" s="50"/>
      <c r="R135" s="56"/>
    </row>
    <row r="136" spans="1:18" ht="14.25">
      <c r="A136" s="49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ht="14.25">
      <c r="A137" s="49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</sheetData>
  <sheetProtection password="C18A" sheet="1" objects="1" scenarios="1" selectLockedCells="1"/>
  <protectedRanges>
    <protectedRange sqref="B60 J60 N60 I61 G62 M62 H63 K64 H65 L65 N65 R64:R65 I66 F67 A68:A71 A87 H87 L87 Q87" name="BOTTOM"/>
    <protectedRange sqref="H24 C24:C25 J24:J25 M24:M25 R25 E26 K26 E28 M28 E30:E36 M30:M36 B38 I39 E40 M40 G41 K41 N41 R41 Q54 Q56 H54:H57 M54:M57 D58 K58" name="MIDDLE"/>
    <protectedRange sqref="B4 I4 M4 R4 A6:A8 L6:L8 C9 M9 Q9 I10 H11 C12 E13 C14 E15 F16 H17 I18:I19 N12:N17 K20:K21 M20:M21 R20:R21 J20:J22 M23 O20:P22 F22:F23" name="TOP"/>
  </protectedRanges>
  <mergeCells count="184">
    <mergeCell ref="X71:AA71"/>
    <mergeCell ref="C73:H73"/>
    <mergeCell ref="X69:AA69"/>
    <mergeCell ref="X61:AA61"/>
    <mergeCell ref="X68:AA68"/>
    <mergeCell ref="X62:AA62"/>
    <mergeCell ref="X63:AA63"/>
    <mergeCell ref="X64:AA64"/>
    <mergeCell ref="X65:AA65"/>
    <mergeCell ref="U71:W71"/>
    <mergeCell ref="X41:AA41"/>
    <mergeCell ref="X60:AA60"/>
    <mergeCell ref="J26:O26"/>
    <mergeCell ref="X70:AA70"/>
    <mergeCell ref="X37:AA37"/>
    <mergeCell ref="X38:AA38"/>
    <mergeCell ref="X39:AA39"/>
    <mergeCell ref="X40:AA40"/>
    <mergeCell ref="X66:AA66"/>
    <mergeCell ref="R7:V8"/>
    <mergeCell ref="W4:AA6"/>
    <mergeCell ref="F1:S2"/>
    <mergeCell ref="X67:AA67"/>
    <mergeCell ref="X34:AA34"/>
    <mergeCell ref="X35:AA35"/>
    <mergeCell ref="X36:AA36"/>
    <mergeCell ref="J30:S32"/>
    <mergeCell ref="X28:AA28"/>
    <mergeCell ref="X29:AA29"/>
    <mergeCell ref="X30:AA30"/>
    <mergeCell ref="X31:AA31"/>
    <mergeCell ref="U2:AA3"/>
    <mergeCell ref="X25:AA25"/>
    <mergeCell ref="X26:AA26"/>
    <mergeCell ref="X27:AA27"/>
    <mergeCell ref="T5:V5"/>
    <mergeCell ref="X7:Z7"/>
    <mergeCell ref="X32:AA32"/>
    <mergeCell ref="X33:AA33"/>
    <mergeCell ref="U67:W67"/>
    <mergeCell ref="U41:W41"/>
    <mergeCell ref="U60:W60"/>
    <mergeCell ref="U61:W61"/>
    <mergeCell ref="U62:W62"/>
    <mergeCell ref="U37:W37"/>
    <mergeCell ref="U38:W38"/>
    <mergeCell ref="U39:W39"/>
    <mergeCell ref="U68:W68"/>
    <mergeCell ref="U69:W69"/>
    <mergeCell ref="U70:W70"/>
    <mergeCell ref="U63:W63"/>
    <mergeCell ref="U64:W64"/>
    <mergeCell ref="U65:W65"/>
    <mergeCell ref="U66:W66"/>
    <mergeCell ref="U31:W31"/>
    <mergeCell ref="U32:W32"/>
    <mergeCell ref="U40:W40"/>
    <mergeCell ref="U33:W33"/>
    <mergeCell ref="U34:W34"/>
    <mergeCell ref="U35:W35"/>
    <mergeCell ref="U36:W36"/>
    <mergeCell ref="U25:W25"/>
    <mergeCell ref="U26:W26"/>
    <mergeCell ref="U27:W27"/>
    <mergeCell ref="U28:W28"/>
    <mergeCell ref="U29:W29"/>
    <mergeCell ref="U30:W30"/>
    <mergeCell ref="C63:D63"/>
    <mergeCell ref="C62:D62"/>
    <mergeCell ref="C61:D61"/>
    <mergeCell ref="C60:D60"/>
    <mergeCell ref="F61:I61"/>
    <mergeCell ref="F62:I62"/>
    <mergeCell ref="F71:I71"/>
    <mergeCell ref="C66:D66"/>
    <mergeCell ref="C65:D65"/>
    <mergeCell ref="C64:D64"/>
    <mergeCell ref="F70:I70"/>
    <mergeCell ref="F69:I69"/>
    <mergeCell ref="F68:I68"/>
    <mergeCell ref="F67:I67"/>
    <mergeCell ref="C70:D70"/>
    <mergeCell ref="C69:D69"/>
    <mergeCell ref="C68:D68"/>
    <mergeCell ref="C67:D67"/>
    <mergeCell ref="Q26:R26"/>
    <mergeCell ref="J29:S29"/>
    <mergeCell ref="J67:S71"/>
    <mergeCell ref="J35:S39"/>
    <mergeCell ref="J40:S61"/>
    <mergeCell ref="J27:R27"/>
    <mergeCell ref="J28:S28"/>
    <mergeCell ref="F37:I37"/>
    <mergeCell ref="F39:I39"/>
    <mergeCell ref="J62:S66"/>
    <mergeCell ref="F40:I40"/>
    <mergeCell ref="F41:I41"/>
    <mergeCell ref="F66:I66"/>
    <mergeCell ref="F65:I65"/>
    <mergeCell ref="F64:I64"/>
    <mergeCell ref="F63:I63"/>
    <mergeCell ref="F60:I60"/>
    <mergeCell ref="F32:I32"/>
    <mergeCell ref="F33:I33"/>
    <mergeCell ref="F34:I34"/>
    <mergeCell ref="F35:I35"/>
    <mergeCell ref="F36:I36"/>
    <mergeCell ref="F38:I38"/>
    <mergeCell ref="C40:D40"/>
    <mergeCell ref="C41:D41"/>
    <mergeCell ref="C71:D71"/>
    <mergeCell ref="F25:I25"/>
    <mergeCell ref="F26:I26"/>
    <mergeCell ref="F27:I27"/>
    <mergeCell ref="F28:I28"/>
    <mergeCell ref="F29:I29"/>
    <mergeCell ref="F30:I30"/>
    <mergeCell ref="F31:I31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H7:K7"/>
    <mergeCell ref="C25:D25"/>
    <mergeCell ref="C26:D26"/>
    <mergeCell ref="C27:D27"/>
    <mergeCell ref="D13:L13"/>
    <mergeCell ref="D17:E17"/>
    <mergeCell ref="F17:I17"/>
    <mergeCell ref="D11:L11"/>
    <mergeCell ref="D12:E12"/>
    <mergeCell ref="F12:L12"/>
    <mergeCell ref="F3:S3"/>
    <mergeCell ref="F4:S4"/>
    <mergeCell ref="F5:S5"/>
    <mergeCell ref="D10:L10"/>
    <mergeCell ref="O9:Q9"/>
    <mergeCell ref="C9:D9"/>
    <mergeCell ref="D8:F8"/>
    <mergeCell ref="J8:M8"/>
    <mergeCell ref="C7:E7"/>
    <mergeCell ref="Q10:Y10"/>
    <mergeCell ref="F18:I18"/>
    <mergeCell ref="R18:AA18"/>
    <mergeCell ref="Q11:Y11"/>
    <mergeCell ref="Q12:R12"/>
    <mergeCell ref="Q13:Y13"/>
    <mergeCell ref="Q14:Y14"/>
    <mergeCell ref="S12:AA12"/>
    <mergeCell ref="V20:W20"/>
    <mergeCell ref="V21:W21"/>
    <mergeCell ref="X20:Y20"/>
    <mergeCell ref="R21:S21"/>
    <mergeCell ref="D14:L14"/>
    <mergeCell ref="K18:N18"/>
    <mergeCell ref="X21:Y21"/>
    <mergeCell ref="T20:U20"/>
    <mergeCell ref="T21:U21"/>
    <mergeCell ref="D18:E18"/>
    <mergeCell ref="C23:D24"/>
    <mergeCell ref="E23:E24"/>
    <mergeCell ref="F23:I24"/>
    <mergeCell ref="J23:S24"/>
    <mergeCell ref="C20:D21"/>
    <mergeCell ref="O20:Q20"/>
    <mergeCell ref="R20:S20"/>
    <mergeCell ref="I73:L73"/>
    <mergeCell ref="Q73:AA73"/>
    <mergeCell ref="S16:U16"/>
    <mergeCell ref="T23:T24"/>
    <mergeCell ref="U23:W24"/>
    <mergeCell ref="X23:AA24"/>
    <mergeCell ref="O21:Q21"/>
    <mergeCell ref="E20:J21"/>
    <mergeCell ref="Z20:AA20"/>
    <mergeCell ref="Z21:AA21"/>
  </mergeCells>
  <conditionalFormatting sqref="O22:P22 K20 M20">
    <cfRule type="expression" priority="1" dxfId="188" stopIfTrue="1">
      <formula>"c19=""Mechanical"""</formula>
    </cfRule>
  </conditionalFormatting>
  <conditionalFormatting sqref="B38:C38 E38:F38">
    <cfRule type="cellIs" priority="2" dxfId="16" operator="equal" stopIfTrue="1">
      <formula>"PLEASE CHOOSE ONE"</formula>
    </cfRule>
  </conditionalFormatting>
  <conditionalFormatting sqref="E20:J21">
    <cfRule type="expression" priority="3" dxfId="1" stopIfTrue="1">
      <formula>IF($E$20="",TRUE,FALSE)</formula>
    </cfRule>
  </conditionalFormatting>
  <conditionalFormatting sqref="D8:F8">
    <cfRule type="expression" priority="4" dxfId="1" stopIfTrue="1">
      <formula>IF($D$8="",TRUE,FALSE)</formula>
    </cfRule>
  </conditionalFormatting>
  <conditionalFormatting sqref="R7:V8">
    <cfRule type="expression" priority="5" dxfId="1" stopIfTrue="1">
      <formula>IF($R$7="",TRUE,FALSE)</formula>
    </cfRule>
  </conditionalFormatting>
  <conditionalFormatting sqref="F17:I17">
    <cfRule type="expression" priority="6" dxfId="1" stopIfTrue="1">
      <formula>IF($F$17="",TRUE,FALSE)</formula>
    </cfRule>
  </conditionalFormatting>
  <conditionalFormatting sqref="F18:I18">
    <cfRule type="expression" priority="7" dxfId="1" stopIfTrue="1">
      <formula>IF($F$18="",TRUE,FALSE)</formula>
    </cfRule>
  </conditionalFormatting>
  <conditionalFormatting sqref="K18:N18">
    <cfRule type="expression" priority="8" dxfId="1" stopIfTrue="1">
      <formula>IF($K$18="",TRUE,FALSE)</formula>
    </cfRule>
  </conditionalFormatting>
  <conditionalFormatting sqref="R18:AA18">
    <cfRule type="expression" priority="9" dxfId="1" stopIfTrue="1">
      <formula>IF($R$18="",TRUE,FALSE)</formula>
    </cfRule>
  </conditionalFormatting>
  <conditionalFormatting sqref="O21:Q21">
    <cfRule type="expression" priority="10" dxfId="1" stopIfTrue="1">
      <formula>IF($O$21="",TRUE,FALSE)</formula>
    </cfRule>
  </conditionalFormatting>
  <conditionalFormatting sqref="R21:S21">
    <cfRule type="expression" priority="11" dxfId="1" stopIfTrue="1">
      <formula>IF($R$21="",TRUE,FALSE)</formula>
    </cfRule>
  </conditionalFormatting>
  <conditionalFormatting sqref="T20:U20">
    <cfRule type="expression" priority="12" dxfId="1" stopIfTrue="1">
      <formula>IF($T$20="",TRUE,FALSE)</formula>
    </cfRule>
  </conditionalFormatting>
  <conditionalFormatting sqref="T21:U21">
    <cfRule type="expression" priority="13" dxfId="1" stopIfTrue="1">
      <formula>IF($T$21="",TRUE,FALSE)</formula>
    </cfRule>
  </conditionalFormatting>
  <conditionalFormatting sqref="X20:Y20">
    <cfRule type="expression" priority="14" dxfId="1" stopIfTrue="1">
      <formula>IF($X$20="",TRUE,FALSE)</formula>
    </cfRule>
  </conditionalFormatting>
  <conditionalFormatting sqref="X21:Y21">
    <cfRule type="expression" priority="15" dxfId="1" stopIfTrue="1">
      <formula>IF($X$21="",TRUE,FALSE)</formula>
    </cfRule>
  </conditionalFormatting>
  <conditionalFormatting sqref="I73:L73">
    <cfRule type="expression" priority="16" dxfId="1" stopIfTrue="1">
      <formula>IF($I$73="",TRUE,FALSE)</formula>
    </cfRule>
  </conditionalFormatting>
  <conditionalFormatting sqref="Q73:AA73">
    <cfRule type="expression" priority="17" dxfId="1" stopIfTrue="1">
      <formula>IF($Q$73="",TRUE,FALSE)</formula>
    </cfRule>
  </conditionalFormatting>
  <printOptions/>
  <pageMargins left="0.25" right="0.25" top="0.2" bottom="0.5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11.421875" style="178" customWidth="1"/>
    <col min="2" max="7" width="8.8515625" style="178" customWidth="1"/>
    <col min="8" max="8" width="5.421875" style="178" customWidth="1"/>
    <col min="9" max="9" width="8.28125" style="178" customWidth="1"/>
    <col min="10" max="10" width="7.8515625" style="178" customWidth="1"/>
    <col min="11" max="11" width="2.8515625" style="178" customWidth="1"/>
    <col min="12" max="12" width="9.00390625" style="178" customWidth="1"/>
    <col min="13" max="16384" width="8.8515625" style="178" customWidth="1"/>
  </cols>
  <sheetData>
    <row r="1" spans="1:17" ht="12.75">
      <c r="A1" s="178" t="s">
        <v>253</v>
      </c>
      <c r="B1" s="178" t="s">
        <v>254</v>
      </c>
      <c r="E1" s="546" t="s">
        <v>257</v>
      </c>
      <c r="F1" s="546"/>
      <c r="G1" s="349"/>
      <c r="I1" s="178" t="s">
        <v>273</v>
      </c>
      <c r="M1" s="211"/>
      <c r="N1" s="211"/>
      <c r="O1" s="211"/>
      <c r="P1" s="372"/>
      <c r="Q1" s="372"/>
    </row>
    <row r="2" spans="1:17" ht="12.75">
      <c r="A2" s="350"/>
      <c r="B2" s="351">
        <v>115</v>
      </c>
      <c r="C2" s="351">
        <v>230</v>
      </c>
      <c r="D2" s="351">
        <v>460</v>
      </c>
      <c r="E2" s="352" t="s">
        <v>255</v>
      </c>
      <c r="F2" s="352" t="s">
        <v>256</v>
      </c>
      <c r="G2" s="349"/>
      <c r="M2" s="211"/>
      <c r="N2" s="211"/>
      <c r="O2" s="211"/>
      <c r="P2" s="372"/>
      <c r="Q2" s="372"/>
    </row>
    <row r="3" spans="1:17" ht="12.75">
      <c r="A3" s="353">
        <f>IF(OR('VIB SPEC SHEET'!O72='BIN VIBRATORS'!I3,'VIB SPEC SHEET'!O72='BIN VIBRATORS'!I4,'VIB SPEC SHEET'!O72='BIN VIBRATORS'!I5,'VIB SPEC SHEET'!O72='BIN VIBRATORS'!I6),"20N","")</f>
      </c>
      <c r="B3" s="354">
        <v>0.6</v>
      </c>
      <c r="C3" s="355">
        <f aca="true" t="shared" si="0" ref="C3:D8">0.5*B3</f>
        <v>0.3</v>
      </c>
      <c r="D3" s="356">
        <f t="shared" si="0"/>
        <v>0.15</v>
      </c>
      <c r="E3" s="357">
        <v>0.0495</v>
      </c>
      <c r="F3" s="357">
        <v>0.09375</v>
      </c>
      <c r="I3" s="351" t="s">
        <v>284</v>
      </c>
      <c r="J3" s="357">
        <v>0.0625</v>
      </c>
      <c r="K3" s="178" t="s">
        <v>115</v>
      </c>
      <c r="M3" s="370"/>
      <c r="N3" s="371"/>
      <c r="O3" s="211"/>
      <c r="P3" s="370"/>
      <c r="Q3" s="211"/>
    </row>
    <row r="4" spans="1:17" ht="12.75">
      <c r="A4" s="353">
        <f>IF(OR('VIB SPEC SHEET'!O72='BIN VIBRATORS'!I7,'BIN VIBRATORS'!I8='VIB SPEC SHEET'!O72,'VIB SPEC SHEET'!O72='BIN VIBRATORS'!J9),"30N","")</f>
      </c>
      <c r="B4" s="359">
        <v>1.2</v>
      </c>
      <c r="C4" s="197">
        <f t="shared" si="0"/>
        <v>0.6</v>
      </c>
      <c r="D4" s="360">
        <f t="shared" si="0"/>
        <v>0.3</v>
      </c>
      <c r="E4" s="357">
        <v>0.09375</v>
      </c>
      <c r="F4" s="357">
        <v>0.125</v>
      </c>
      <c r="I4" s="351" t="s">
        <v>285</v>
      </c>
      <c r="J4" s="357">
        <v>0.0699</v>
      </c>
      <c r="K4" s="178" t="s">
        <v>115</v>
      </c>
      <c r="M4" s="370"/>
      <c r="N4" s="371"/>
      <c r="O4" s="211"/>
      <c r="P4" s="370"/>
      <c r="Q4" s="211"/>
    </row>
    <row r="5" spans="1:17" ht="12.75">
      <c r="A5" s="353">
        <f>IF(OR(I3='VIB SPEC SHEET'!O72,'BIN VIBRATORS'!O73='BIN VIBRATORS'!I4,'BIN VIBRATORS'!I5='VIB SPEC SHEET'!O72,'VIB SPEC SHEET'!O72='BIN VIBRATORS'!I6,'BIN VIBRATORS'!I7='VIB SPEC SHEET'!O72,'VIB SPEC SHEET'!O72='BIN VIBRATORS'!I8,'BIN VIBRATORS'!I9='VIB SPEC SHEET'!O72),"30P","")</f>
      </c>
      <c r="B5" s="359">
        <v>0.5</v>
      </c>
      <c r="C5" s="197">
        <f t="shared" si="0"/>
        <v>0.25</v>
      </c>
      <c r="D5" s="360">
        <f t="shared" si="0"/>
        <v>0.125</v>
      </c>
      <c r="E5" s="357">
        <v>0.0625</v>
      </c>
      <c r="F5" s="357">
        <v>0.125</v>
      </c>
      <c r="I5" s="351" t="s">
        <v>286</v>
      </c>
      <c r="J5" s="357">
        <v>0.0785</v>
      </c>
      <c r="K5" s="178" t="s">
        <v>115</v>
      </c>
      <c r="M5" s="370"/>
      <c r="N5" s="371"/>
      <c r="O5" s="211"/>
      <c r="P5" s="370"/>
      <c r="Q5" s="211"/>
    </row>
    <row r="6" spans="1:17" ht="12.75">
      <c r="A6" s="353">
        <f>IF(OR(I3='VIB SPEC SHEET'!O72,'BIN VIBRATORS'!O73='BIN VIBRATORS'!I4,'BIN VIBRATORS'!I5='VIB SPEC SHEET'!O72,'VIB SPEC SHEET'!O72='BIN VIBRATORS'!I6,'BIN VIBRATORS'!I7='VIB SPEC SHEET'!O72,'VIB SPEC SHEET'!O72='BIN VIBRATORS'!I8,'BIN VIBRATORS'!I9='VIB SPEC SHEET'!O72),"30S","")</f>
      </c>
      <c r="B6" s="359">
        <v>0.5</v>
      </c>
      <c r="C6" s="197">
        <f t="shared" si="0"/>
        <v>0.25</v>
      </c>
      <c r="D6" s="360">
        <f t="shared" si="0"/>
        <v>0.125</v>
      </c>
      <c r="E6" s="357">
        <v>0.0625</v>
      </c>
      <c r="F6" s="357">
        <v>0.125</v>
      </c>
      <c r="I6" s="351" t="s">
        <v>287</v>
      </c>
      <c r="J6" s="357">
        <v>0.0882</v>
      </c>
      <c r="K6" s="178" t="s">
        <v>115</v>
      </c>
      <c r="M6" s="370"/>
      <c r="N6" s="371"/>
      <c r="O6" s="211"/>
      <c r="P6" s="370"/>
      <c r="Q6" s="211"/>
    </row>
    <row r="7" spans="1:17" ht="12.75">
      <c r="A7" s="353">
        <f>IF(OR('VIB SPEC SHEET'!O72='BIN VIBRATORS'!I9,'BIN VIBRATORS'!I10='VIB SPEC SHEET'!O72,'VIB SPEC SHEET'!O72='BIN VIBRATORS'!I11,'BIN VIBRATORS'!I12='VIB SPEC SHEET'!O72),"40P","")</f>
      </c>
      <c r="B7" s="359">
        <v>1.4</v>
      </c>
      <c r="C7" s="197">
        <f t="shared" si="0"/>
        <v>0.7</v>
      </c>
      <c r="D7" s="360">
        <f t="shared" si="0"/>
        <v>0.35</v>
      </c>
      <c r="E7" s="357">
        <v>0.125</v>
      </c>
      <c r="F7" s="357">
        <v>0.25</v>
      </c>
      <c r="I7" s="351" t="s">
        <v>288</v>
      </c>
      <c r="J7" s="357">
        <v>0.0991</v>
      </c>
      <c r="K7" s="178" t="s">
        <v>115</v>
      </c>
      <c r="M7" s="370"/>
      <c r="N7" s="371"/>
      <c r="O7" s="211"/>
      <c r="P7" s="370"/>
      <c r="Q7" s="211"/>
    </row>
    <row r="8" spans="1:17" ht="12.75">
      <c r="A8" s="353">
        <f>IF(OR('VIB SPEC SHEET'!O72='BIN VIBRATORS'!I9,'BIN VIBRATORS'!I10='VIB SPEC SHEET'!O72,'VIB SPEC SHEET'!O72='BIN VIBRATORS'!I11,'BIN VIBRATORS'!I12='VIB SPEC SHEET'!O72),"40S","")</f>
      </c>
      <c r="B8" s="359">
        <v>1.6</v>
      </c>
      <c r="C8" s="197">
        <f t="shared" si="0"/>
        <v>0.8</v>
      </c>
      <c r="D8" s="360">
        <f t="shared" si="0"/>
        <v>0.4</v>
      </c>
      <c r="E8" s="357">
        <v>0.125</v>
      </c>
      <c r="F8" s="357">
        <v>0.25</v>
      </c>
      <c r="I8" s="351" t="s">
        <v>289</v>
      </c>
      <c r="J8" s="357">
        <v>0.1113</v>
      </c>
      <c r="K8" s="178" t="s">
        <v>115</v>
      </c>
      <c r="M8" s="370"/>
      <c r="N8" s="371"/>
      <c r="O8" s="211"/>
      <c r="P8" s="370"/>
      <c r="Q8" s="211"/>
    </row>
    <row r="9" spans="1:17" ht="12.75">
      <c r="A9" s="362"/>
      <c r="B9" s="358">
        <f>IF(A12=A3,B3,IF(A12=A4,B4,IF(A12=A5,B5,IF(A12=A6,B6,IF(A12=A7,B7,IF(A12=A8,B8,IF(A9=A12,#REF!,IF(A12=A10,B10,""))))))))</f>
        <v>0.6</v>
      </c>
      <c r="C9" s="358">
        <f>IF(B9=B3,C3,IF(B9=B4,C4,IF(B9=B5,C5,IF(B9=B6,C6,IF(B9=B7,C7,IF(B9=B8,C8,IF(#REF!=B9,#REF!,IF(B9=B10,C10,""))))))))</f>
        <v>0.3</v>
      </c>
      <c r="D9" s="358">
        <f>IF(C9=C3,D3,IF(C9=C4,D4,IF(C9=C5,D5,IF(C9=C6,D6,IF(C9=C7,D7,IF(C9=C8,D8,IF(#REF!=C9,#REF!,IF(C9=C10,D10,""))))))))</f>
        <v>0.15</v>
      </c>
      <c r="E9" s="357"/>
      <c r="F9" s="357"/>
      <c r="I9" s="351" t="s">
        <v>290</v>
      </c>
      <c r="J9" s="357">
        <v>0.125</v>
      </c>
      <c r="K9" s="178" t="s">
        <v>115</v>
      </c>
      <c r="M9" s="370"/>
      <c r="N9" s="371"/>
      <c r="O9" s="211"/>
      <c r="P9" s="370"/>
      <c r="Q9" s="211"/>
    </row>
    <row r="10" spans="1:17" ht="12.75">
      <c r="A10" s="362"/>
      <c r="B10" s="197"/>
      <c r="C10" s="197"/>
      <c r="D10" s="360"/>
      <c r="E10" s="357"/>
      <c r="F10" s="357"/>
      <c r="I10" s="351" t="s">
        <v>291</v>
      </c>
      <c r="J10" s="357">
        <v>0.1398</v>
      </c>
      <c r="K10" s="178" t="s">
        <v>115</v>
      </c>
      <c r="M10" s="370"/>
      <c r="N10" s="371"/>
      <c r="O10" s="211"/>
      <c r="P10" s="370"/>
      <c r="Q10" s="211"/>
    </row>
    <row r="11" spans="1:17" ht="12.75">
      <c r="A11" s="178" t="s">
        <v>268</v>
      </c>
      <c r="B11" s="178" t="s">
        <v>269</v>
      </c>
      <c r="I11" s="351" t="s">
        <v>292</v>
      </c>
      <c r="J11" s="357">
        <v>0.157</v>
      </c>
      <c r="K11" s="178" t="s">
        <v>115</v>
      </c>
      <c r="M11" s="370"/>
      <c r="N11" s="371"/>
      <c r="O11" s="211"/>
      <c r="P11" s="370"/>
      <c r="Q11" s="211"/>
    </row>
    <row r="12" spans="1:17" ht="12.75">
      <c r="A12" s="358">
        <f>IF('VIB SPEC SHEET'!G77="","",'VIB SPEC SHEET'!G77)</f>
      </c>
      <c r="B12" s="350">
        <f>IF('VIB SPEC SHEET'!AA77=115,'BIN VIBRATORS'!B9,IF('VIB SPEC SHEET'!AA77=230,'BIN VIBRATORS'!C9,IF('VIB SPEC SHEET'!AA77=460,'BIN VIBRATORS'!D9,"")))</f>
      </c>
      <c r="I12" s="351" t="s">
        <v>293</v>
      </c>
      <c r="J12" s="357">
        <v>0.1764</v>
      </c>
      <c r="K12" s="178" t="s">
        <v>115</v>
      </c>
      <c r="M12" s="370"/>
      <c r="N12" s="371"/>
      <c r="O12" s="211"/>
      <c r="P12" s="370"/>
      <c r="Q12" s="211"/>
    </row>
    <row r="17" spans="4:5" ht="12.75">
      <c r="D17" s="608"/>
      <c r="E17" s="608"/>
    </row>
    <row r="18" spans="4:5" ht="12.75">
      <c r="D18" s="608"/>
      <c r="E18" s="608"/>
    </row>
  </sheetData>
  <sheetProtection password="C18A" sheet="1" objects="1" scenarios="1"/>
  <mergeCells count="3">
    <mergeCell ref="E1:F1"/>
    <mergeCell ref="D17:D18"/>
    <mergeCell ref="E17:E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00390625" style="0" customWidth="1"/>
    <col min="3" max="3" width="14.7109375" style="0" customWidth="1"/>
    <col min="5" max="5" width="14.00390625" style="0" customWidth="1"/>
    <col min="6" max="6" width="10.421875" style="0" customWidth="1"/>
    <col min="7" max="7" width="10.7109375" style="0" customWidth="1"/>
  </cols>
  <sheetData>
    <row r="1" spans="1:6" ht="13.5" thickBot="1">
      <c r="A1" s="4" t="s">
        <v>61</v>
      </c>
      <c r="C1" s="3" t="s">
        <v>18</v>
      </c>
      <c r="D1" s="3"/>
      <c r="F1" s="621" t="s">
        <v>199</v>
      </c>
    </row>
    <row r="2" spans="1:13" ht="12.75">
      <c r="A2" s="4"/>
      <c r="C2" s="3"/>
      <c r="D2" s="3"/>
      <c r="F2" s="622"/>
      <c r="G2" s="2" t="s">
        <v>59</v>
      </c>
      <c r="J2" s="609" t="s">
        <v>211</v>
      </c>
      <c r="K2" s="610"/>
      <c r="L2" s="610"/>
      <c r="M2" s="611"/>
    </row>
    <row r="3" spans="3:13" ht="12.75">
      <c r="C3" s="3"/>
      <c r="D3" s="3"/>
      <c r="F3" s="156"/>
      <c r="H3" t="s">
        <v>78</v>
      </c>
      <c r="I3" s="41"/>
      <c r="J3" s="612"/>
      <c r="K3" s="613"/>
      <c r="L3" s="613"/>
      <c r="M3" s="614"/>
    </row>
    <row r="4" spans="1:13" ht="12.75">
      <c r="A4" t="s">
        <v>36</v>
      </c>
      <c r="C4" s="253" t="s">
        <v>42</v>
      </c>
      <c r="D4" s="3"/>
      <c r="F4" s="164">
        <f>IF('VIB SPEC SHEET'!$G$24='EQUIP AND MAT'!G4,IF(G4=C4,1,""),"")</f>
      </c>
      <c r="G4" s="167">
        <f>IF('VIB SPEC SHEET'!G23="","",IF('VIB SPEC SHEET'!G23="Mechanical",C4,IF('VIB SPEC SHEET'!G23="please SELECT one","","HS/HD/HDC/C")))</f>
      </c>
      <c r="H4" s="164">
        <v>30</v>
      </c>
      <c r="I4" s="42"/>
      <c r="J4" s="612"/>
      <c r="K4" s="613"/>
      <c r="L4" s="613"/>
      <c r="M4" s="614"/>
    </row>
    <row r="5" spans="3:13" ht="12.75">
      <c r="C5" s="253" t="s">
        <v>43</v>
      </c>
      <c r="D5" s="3"/>
      <c r="F5" s="164">
        <f>IF('VIB SPEC SHEET'!$G$24='EQUIP AND MAT'!G5,IF(G5=C5,2,""),"")</f>
      </c>
      <c r="G5" s="167">
        <f>IF('VIB SPEC SHEET'!G23="","",IF('VIB SPEC SHEET'!G23="Mechanical",C5,IF('VIB SPEC SHEET'!G23="please SELECT one","","B")))</f>
      </c>
      <c r="H5" s="164">
        <v>50</v>
      </c>
      <c r="I5" s="42"/>
      <c r="J5" s="612"/>
      <c r="K5" s="613"/>
      <c r="L5" s="613"/>
      <c r="M5" s="614"/>
    </row>
    <row r="6" spans="3:13" ht="12.75">
      <c r="C6" s="253" t="s">
        <v>37</v>
      </c>
      <c r="D6" s="3"/>
      <c r="F6" s="164">
        <f>IF('VIB SPEC SHEET'!$G$24='EQUIP AND MAT'!G6,IF(G6=C6,3,""),"")</f>
      </c>
      <c r="G6" s="167">
        <f>IF('VIB SPEC SHEET'!G23="","",IF('VIB SPEC SHEET'!G23="Mechanical",C6,IF('VIB SPEC SHEET'!G23="please SELECT one","","VMC")))</f>
      </c>
      <c r="H6" s="164">
        <v>60</v>
      </c>
      <c r="J6" s="615"/>
      <c r="K6" s="616"/>
      <c r="L6" s="616"/>
      <c r="M6" s="617"/>
    </row>
    <row r="7" spans="3:13" ht="13.5" thickBot="1">
      <c r="C7" s="253" t="s">
        <v>38</v>
      </c>
      <c r="D7" s="3"/>
      <c r="F7" s="164">
        <f>IF('VIB SPEC SHEET'!$G$24='EQUIP AND MAT'!G7,IF(G7=C7,4,""),"")</f>
      </c>
      <c r="G7" s="167" t="str">
        <f>IF('VIB SPEC SHEET'!G23="Mechanical",C7," ")</f>
        <v> </v>
      </c>
      <c r="J7" s="618"/>
      <c r="K7" s="619"/>
      <c r="L7" s="619"/>
      <c r="M7" s="620"/>
    </row>
    <row r="8" spans="3:7" ht="12.75">
      <c r="C8" s="253" t="s">
        <v>39</v>
      </c>
      <c r="D8" s="3"/>
      <c r="F8" s="164">
        <f>IF('VIB SPEC SHEET'!$G$24='EQUIP AND MAT'!G8,IF(G8=C8,5,""),"")</f>
      </c>
      <c r="G8" s="167" t="str">
        <f>IF('VIB SPEC SHEET'!G23="Mechanical",C8," ")</f>
        <v> </v>
      </c>
    </row>
    <row r="9" spans="3:7" ht="12.75">
      <c r="C9" s="253" t="s">
        <v>40</v>
      </c>
      <c r="D9" s="3"/>
      <c r="F9" s="164">
        <f>IF('VIB SPEC SHEET'!$G$24='EQUIP AND MAT'!G9,IF(G9=C9,6,""),"")</f>
      </c>
      <c r="G9" s="167" t="str">
        <f>IF('VIB SPEC SHEET'!G23="Mechanical",C9," ")</f>
        <v> </v>
      </c>
    </row>
    <row r="10" spans="3:7" ht="12.75">
      <c r="C10" s="253" t="s">
        <v>158</v>
      </c>
      <c r="D10" s="3"/>
      <c r="F10" s="164">
        <f>IF('VIB SPEC SHEET'!$G$24='EQUIP AND MAT'!G10,IF(G10=C10,7,""),"")</f>
      </c>
      <c r="G10" s="167" t="str">
        <f>IF('VIB SPEC SHEET'!G23="Mechanical",C10," ")</f>
        <v> </v>
      </c>
    </row>
    <row r="11" spans="3:7" ht="12.75">
      <c r="C11" s="253" t="s">
        <v>159</v>
      </c>
      <c r="D11" s="3"/>
      <c r="F11" s="164">
        <f>IF('VIB SPEC SHEET'!$G$24='EQUIP AND MAT'!G11,IF(G11=C11,8,""),"")</f>
      </c>
      <c r="G11" s="167" t="str">
        <f>IF('VIB SPEC SHEET'!G23="Mechanical",C11," ")</f>
        <v> </v>
      </c>
    </row>
    <row r="12" spans="3:7" ht="12.75">
      <c r="C12" s="253" t="s">
        <v>41</v>
      </c>
      <c r="D12" s="3"/>
      <c r="F12" s="164">
        <f>IF('VIB SPEC SHEET'!$G$24='EQUIP AND MAT'!G12,IF(G12=C12,9,""),"")</f>
      </c>
      <c r="G12" s="167" t="str">
        <f>IF('VIB SPEC SHEET'!G23="Mechanical",C12," ")</f>
        <v> </v>
      </c>
    </row>
    <row r="13" spans="3:7" ht="12.75">
      <c r="C13" s="256"/>
      <c r="D13" s="3"/>
      <c r="F13" s="164">
        <f>IF('VIB SPEC SHEET'!$G$24='EQUIP AND MAT'!G13,IF(G13=C13,IF(G13="","",10),""),"")</f>
      </c>
      <c r="G13" s="167"/>
    </row>
    <row r="14" spans="3:7" ht="12.75">
      <c r="C14" s="256"/>
      <c r="D14" s="3"/>
      <c r="F14" s="164">
        <f>IF('VIB SPEC SHEET'!$G$24='EQUIP AND MAT'!G14,IF(G14=C14,IF(G14="","",11),""),"")</f>
      </c>
      <c r="G14" s="167"/>
    </row>
    <row r="15" spans="3:7" ht="12.75">
      <c r="C15" s="42"/>
      <c r="D15" s="42"/>
      <c r="E15" s="41"/>
      <c r="F15" s="165">
        <f>SUM(F4:F14)</f>
        <v>0</v>
      </c>
      <c r="G15" s="41"/>
    </row>
    <row r="16" spans="3:7" ht="12.75">
      <c r="C16" s="42"/>
      <c r="D16" s="42"/>
      <c r="E16" s="41"/>
      <c r="F16" s="41"/>
      <c r="G16" s="41"/>
    </row>
    <row r="17" spans="3:6" ht="12.75">
      <c r="C17" s="3"/>
      <c r="D17" s="3"/>
      <c r="F17" s="621" t="s">
        <v>199</v>
      </c>
    </row>
    <row r="18" spans="1:7" ht="12.75">
      <c r="A18" t="s">
        <v>114</v>
      </c>
      <c r="C18" s="3" t="s">
        <v>151</v>
      </c>
      <c r="D18" s="3" t="s">
        <v>152</v>
      </c>
      <c r="E18" t="s">
        <v>47</v>
      </c>
      <c r="F18" s="622"/>
      <c r="G18" s="162" t="s">
        <v>58</v>
      </c>
    </row>
    <row r="19" spans="3:7" ht="12.75">
      <c r="C19" s="3"/>
      <c r="D19" s="3"/>
      <c r="F19" s="3">
        <f>IF(E18='VIB SPEC SHEET'!G24,52,"")</f>
      </c>
      <c r="G19" s="163"/>
    </row>
    <row r="20" spans="3:7" ht="12.75">
      <c r="C20" s="253" t="s">
        <v>44</v>
      </c>
      <c r="D20" s="253" t="s">
        <v>48</v>
      </c>
      <c r="F20" s="164">
        <f>IF('VIB SPEC SHEET'!O24='EQUIP AND MAT'!G20,IF(G20=C20,1,IF(G20=D20,26,IF(G20=E18,52,""))),"")</f>
      </c>
      <c r="G20" s="164">
        <f>IF('VIB SPEC SHEET'!G$23="","",IF('VIB SPEC SHEET'!G$24="HS/HD/HDC/C",C20,IF('VIB SPEC SHEET'!G$24="B",D20,IF('VIB SPEC SHEET'!G$24="VMC","","CONVEYOR"))))</f>
      </c>
    </row>
    <row r="21" spans="3:7" ht="12.75">
      <c r="C21" s="253" t="s">
        <v>45</v>
      </c>
      <c r="D21" s="253" t="s">
        <v>49</v>
      </c>
      <c r="F21" s="164">
        <f>IF('VIB SPEC SHEET'!$O$24='EQUIP AND MAT'!G21,IF(G21=C21,2,IF(G21=D21,27,"")),"")</f>
      </c>
      <c r="G21" s="164">
        <f>IF('VIB SPEC SHEET'!G$23="","",IF('VIB SPEC SHEET'!G$24="HS/HD/HDC/C",C21,IF('VIB SPEC SHEET'!G$24="B",D21,IF('VIB SPEC SHEET'!G$24="VMC","","SCREEN"))))</f>
      </c>
    </row>
    <row r="22" spans="3:7" ht="12.75">
      <c r="C22" s="253" t="s">
        <v>46</v>
      </c>
      <c r="D22" s="253" t="s">
        <v>50</v>
      </c>
      <c r="F22" s="164">
        <f>IF('VIB SPEC SHEET'!$O$24='EQUIP AND MAT'!G22,IF(G22=C22,3,IF(G22=D22,28,"")),"")</f>
      </c>
      <c r="G22" s="164">
        <f>IF('VIB SPEC SHEET'!G$23="","",IF('VIB SPEC SHEET'!G$24="HS/HD/HDC/C",C22,IF('VIB SPEC SHEET'!G$24="B",D22,IF('VIB SPEC SHEET'!G$24="VMC","","FEEDER"))))</f>
      </c>
    </row>
    <row r="23" spans="3:7" ht="12.75">
      <c r="C23" s="253" t="s">
        <v>93</v>
      </c>
      <c r="D23" s="253" t="s">
        <v>51</v>
      </c>
      <c r="F23" s="164">
        <f>IF('VIB SPEC SHEET'!$O$24='EQUIP AND MAT'!G23,IF(G23=C23,4,IF(G23=D23,29,"")),"")</f>
      </c>
      <c r="G23" s="164">
        <f>IF('VIB SPEC SHEET'!G$24="HS/HD/HDC/C",C23,IF('VIB SPEC SHEET'!G$24="B",D23,""))</f>
      </c>
    </row>
    <row r="24" spans="3:7" ht="12.75">
      <c r="C24" s="253" t="s">
        <v>94</v>
      </c>
      <c r="D24" s="253" t="s">
        <v>52</v>
      </c>
      <c r="F24" s="164">
        <f>IF('VIB SPEC SHEET'!$O$24='EQUIP AND MAT'!G24,IF(G24=C24,5,IF(G24=D24,30,"")),"")</f>
      </c>
      <c r="G24" s="164">
        <f>IF('VIB SPEC SHEET'!G$24="HS/HD/HDC/C",C24,IF('VIB SPEC SHEET'!G$24="B",D24,""))</f>
      </c>
    </row>
    <row r="25" spans="3:7" ht="12.75">
      <c r="C25" s="253" t="s">
        <v>95</v>
      </c>
      <c r="D25" s="253" t="s">
        <v>53</v>
      </c>
      <c r="F25" s="164">
        <f>IF('VIB SPEC SHEET'!$O$24='EQUIP AND MAT'!G25,IF(G25=C25,6,IF(G25=D25,31,"")),"")</f>
      </c>
      <c r="G25" s="164">
        <f>IF('VIB SPEC SHEET'!G$24="HS/HD/HDC/C",C25,IF('VIB SPEC SHEET'!G$24="B",D25,""))</f>
      </c>
    </row>
    <row r="26" spans="3:7" ht="12.75">
      <c r="C26" s="253" t="s">
        <v>103</v>
      </c>
      <c r="D26" s="253" t="s">
        <v>54</v>
      </c>
      <c r="F26" s="164">
        <f>IF('VIB SPEC SHEET'!$O$24='EQUIP AND MAT'!G26,IF(G26=C26,7,IF(G26=D26,32,"")),"")</f>
      </c>
      <c r="G26" s="164">
        <f>IF('VIB SPEC SHEET'!G$24="HS/HD/HDC/C",C26,IF('VIB SPEC SHEET'!G$24="B",D26,""))</f>
      </c>
    </row>
    <row r="27" spans="3:7" ht="12.75">
      <c r="C27" s="284" t="s">
        <v>198</v>
      </c>
      <c r="D27" s="253" t="s">
        <v>55</v>
      </c>
      <c r="F27" s="164">
        <f>IF('VIB SPEC SHEET'!$O$24='EQUIP AND MAT'!G27,IF(G27=C27,8,IF(G27=D27,33,"")),"")</f>
      </c>
      <c r="G27" s="164">
        <f>IF('VIB SPEC SHEET'!G$24="HS/HD/HDC/C",C27,IF('VIB SPEC SHEET'!G$24="B",D27,""))</f>
      </c>
    </row>
    <row r="28" spans="3:7" ht="12.75">
      <c r="C28" s="284" t="s">
        <v>96</v>
      </c>
      <c r="D28" s="253" t="s">
        <v>56</v>
      </c>
      <c r="F28" s="164">
        <f>IF('VIB SPEC SHEET'!$O$24='EQUIP AND MAT'!G28,IF(G28=C28,9,IF(G28=D28,34,"")),"")</f>
      </c>
      <c r="G28" s="164">
        <f>IF('VIB SPEC SHEET'!G$24="HS/HD/HDC/C",C28,IF('VIB SPEC SHEET'!G$24="B",D28,""))</f>
      </c>
    </row>
    <row r="29" spans="3:8" ht="12.75">
      <c r="C29" s="284" t="s">
        <v>97</v>
      </c>
      <c r="D29" s="253" t="s">
        <v>57</v>
      </c>
      <c r="F29" s="164">
        <f>IF('VIB SPEC SHEET'!$O$24='EQUIP AND MAT'!G29,IF(G29=C29,10,IF(G29=D29,35,"")),"")</f>
      </c>
      <c r="G29" s="164">
        <f>IF('VIB SPEC SHEET'!G$24="HS/HD/HDC/C",C29,IF('VIB SPEC SHEET'!G$24="B",D29,""))</f>
      </c>
      <c r="H29" s="367"/>
    </row>
    <row r="30" spans="3:15" ht="12.75">
      <c r="C30" s="284" t="s">
        <v>98</v>
      </c>
      <c r="D30" s="256"/>
      <c r="F30" s="164">
        <f>IF('VIB SPEC SHEET'!$O$24='EQUIP AND MAT'!G30,IF(G30=C30,11,IF(G30=D30,IF(G30="","",36),"")),"")</f>
      </c>
      <c r="G30" s="164">
        <f>IF('VIB SPEC SHEET'!G$24="HS/HD/HDC/C",C30,IF('VIB SPEC SHEET'!G$24="B",IF(D30="",""),""))</f>
      </c>
      <c r="H30" s="41"/>
      <c r="I30" s="37"/>
      <c r="L30" s="37"/>
      <c r="M30" s="37"/>
      <c r="N30" s="37"/>
      <c r="O30" s="37"/>
    </row>
    <row r="31" spans="3:15" ht="12.75">
      <c r="C31" s="284" t="s">
        <v>99</v>
      </c>
      <c r="D31" s="241"/>
      <c r="F31" s="164">
        <f>IF('VIB SPEC SHEET'!$O$24='EQUIP AND MAT'!G31,IF(G31=C31,12,IF(G31=D31,IF(G31="","",37),"")),"")</f>
      </c>
      <c r="G31" s="164">
        <f>IF('VIB SPEC SHEET'!G$24="HS/HD/HDC/C",C31,IF('VIB SPEC SHEET'!G$24="B",IF(D31="",""),""))</f>
      </c>
      <c r="H31" s="41"/>
      <c r="I31" s="37"/>
      <c r="L31" s="37"/>
      <c r="M31" s="37"/>
      <c r="N31" s="37"/>
      <c r="O31" s="37"/>
    </row>
    <row r="32" spans="3:15" ht="12.75">
      <c r="C32" s="284" t="s">
        <v>100</v>
      </c>
      <c r="D32" s="241"/>
      <c r="F32" s="164">
        <f>IF('VIB SPEC SHEET'!$O$24='EQUIP AND MAT'!G32,IF(G32=C32,13,IF(G32=D32,IF(G32="","",38),"")),"")</f>
      </c>
      <c r="G32" s="164">
        <f>IF('VIB SPEC SHEET'!G$24="HS/HD/HDC/C",C32,IF('VIB SPEC SHEET'!G$24="B",IF(D32="",""),""))</f>
      </c>
      <c r="H32" s="41"/>
      <c r="I32" s="37"/>
      <c r="L32" s="37"/>
      <c r="M32" s="37"/>
      <c r="N32" s="37"/>
      <c r="O32" s="37"/>
    </row>
    <row r="33" spans="3:15" ht="12.75">
      <c r="C33" s="284" t="s">
        <v>101</v>
      </c>
      <c r="D33" s="241"/>
      <c r="F33" s="164">
        <f>IF('VIB SPEC SHEET'!$O$24='EQUIP AND MAT'!G33,IF(G33=C33,14,IF(G33=D33,IF(G33="","",39),"")),"")</f>
      </c>
      <c r="G33" s="164">
        <f>IF('VIB SPEC SHEET'!G$24="HS/HD/HDC/C",C33,IF('VIB SPEC SHEET'!G$24="B",IF(D33="",""),""))</f>
      </c>
      <c r="H33" s="41"/>
      <c r="I33" s="37"/>
      <c r="L33" s="37"/>
      <c r="M33" s="37"/>
      <c r="N33" s="37"/>
      <c r="O33" s="37"/>
    </row>
    <row r="34" spans="3:15" ht="12.75">
      <c r="C34" s="284" t="s">
        <v>102</v>
      </c>
      <c r="D34" s="241"/>
      <c r="F34" s="164">
        <f>IF('VIB SPEC SHEET'!$O$24='EQUIP AND MAT'!G34,IF(G34=C34,15,IF(G34=D34,IF(G34="","",40),"")),"")</f>
      </c>
      <c r="G34" s="164">
        <f>IF('VIB SPEC SHEET'!G$24="HS/HD/HDC/C",C34,IF('VIB SPEC SHEET'!G$24="B",IF(D34="",""),""))</f>
      </c>
      <c r="H34" s="41"/>
      <c r="I34" s="37"/>
      <c r="L34" s="37"/>
      <c r="M34" s="37"/>
      <c r="N34" s="37"/>
      <c r="O34" s="37"/>
    </row>
    <row r="35" spans="3:15" ht="12.75">
      <c r="C35" s="253" t="s">
        <v>108</v>
      </c>
      <c r="D35" s="241"/>
      <c r="F35" s="164">
        <f>IF('VIB SPEC SHEET'!$O$24='EQUIP AND MAT'!G35,IF(G35=C35,16,IF(G35=D35,IF(G35="","",41),"")),"")</f>
      </c>
      <c r="G35" s="164">
        <f>IF('VIB SPEC SHEET'!G$24="HS/HD/HDC/C",C35,IF('VIB SPEC SHEET'!G$24="B",IF(D35="",""),""))</f>
      </c>
      <c r="H35" s="41"/>
      <c r="I35" s="37"/>
      <c r="L35" s="37"/>
      <c r="M35" s="37"/>
      <c r="N35" s="37"/>
      <c r="O35" s="37"/>
    </row>
    <row r="36" spans="3:15" ht="12.75">
      <c r="C36" s="256" t="s">
        <v>169</v>
      </c>
      <c r="D36" s="241"/>
      <c r="F36" s="164">
        <f>IF('VIB SPEC SHEET'!$O$24='EQUIP AND MAT'!G36,IF(G36=C36,17,IF(G36=D36,IF(G36="","",42),"")),"")</f>
      </c>
      <c r="G36" s="164">
        <f>IF('VIB SPEC SHEET'!G$24="HS/HD/HDC/C",IF(C36="","",C36),IF('VIB SPEC SHEET'!G$24="B",IF(D36="","",D36),""))</f>
      </c>
      <c r="H36" s="41"/>
      <c r="I36" s="37"/>
      <c r="L36" s="37"/>
      <c r="M36" s="37"/>
      <c r="N36" s="37"/>
      <c r="O36" s="37"/>
    </row>
    <row r="37" spans="3:15" ht="12.75">
      <c r="C37" s="256" t="s">
        <v>170</v>
      </c>
      <c r="D37" s="241"/>
      <c r="F37" s="164">
        <f>IF('VIB SPEC SHEET'!$O$24='EQUIP AND MAT'!G37,IF(G37=C37,18,IF(G37=D37,IF(G37="","",43),"")),"")</f>
      </c>
      <c r="G37" s="164">
        <f>IF('VIB SPEC SHEET'!G$24="HS/HD/HDC/C",IF(C37="","",C37),IF('VIB SPEC SHEET'!G$24="B",IF(D37="","",D37),""))</f>
      </c>
      <c r="I37" s="37"/>
      <c r="L37" s="37"/>
      <c r="M37" s="37"/>
      <c r="N37" s="37"/>
      <c r="O37" s="37"/>
    </row>
    <row r="38" spans="3:15" ht="12.75">
      <c r="C38" s="256" t="s">
        <v>171</v>
      </c>
      <c r="D38" s="241"/>
      <c r="F38" s="164">
        <f>IF('VIB SPEC SHEET'!$O$24='EQUIP AND MAT'!G38,IF(G38=C38,19,IF(G38=D38,IF(G38="","",44),"")),"")</f>
      </c>
      <c r="G38" s="164">
        <f>IF('VIB SPEC SHEET'!G$24="HS/HD/HDC/C",IF(C38="","",C38),IF('VIB SPEC SHEET'!G$24="B",IF(D38="","",D38),""))</f>
      </c>
      <c r="I38" s="37"/>
      <c r="L38" s="37"/>
      <c r="M38" s="37"/>
      <c r="N38" s="37"/>
      <c r="O38" s="37"/>
    </row>
    <row r="39" spans="3:15" ht="12.75">
      <c r="C39" s="285" t="s">
        <v>172</v>
      </c>
      <c r="D39" s="286"/>
      <c r="F39" s="164">
        <f>IF('VIB SPEC SHEET'!$O$24='EQUIP AND MAT'!G39,IF(G39=C39,20,IF(G39=D39,IF(G39="","",45),"")),"")</f>
      </c>
      <c r="G39" s="164">
        <f>IF('VIB SPEC SHEET'!G$24="HS/HD/HDC/C",IF(C39="","",C39),IF('VIB SPEC SHEET'!G$24="B",IF(D39="","",D39),""))</f>
      </c>
      <c r="I39" s="37"/>
      <c r="L39" s="37"/>
      <c r="M39" s="37"/>
      <c r="N39" s="37"/>
      <c r="O39" s="37"/>
    </row>
    <row r="40" spans="1:15" ht="12.75">
      <c r="A40" s="41"/>
      <c r="C40" s="285" t="s">
        <v>173</v>
      </c>
      <c r="D40" s="286"/>
      <c r="F40" s="164">
        <f>IF('VIB SPEC SHEET'!$O$24='EQUIP AND MAT'!G40,IF(G40=C40,21,IF(G40=D40,IF(G40="","",46),"")),"")</f>
      </c>
      <c r="G40" s="164">
        <f>IF('VIB SPEC SHEET'!G$24="HS/HD/HDC/C",IF(C40="","",C40),IF('VIB SPEC SHEET'!G$24="B",IF(D40="","",D40),""))</f>
      </c>
      <c r="I40" s="37"/>
      <c r="L40" s="37"/>
      <c r="M40" s="37"/>
      <c r="N40" s="37"/>
      <c r="O40" s="37"/>
    </row>
    <row r="41" spans="1:15" ht="12.75">
      <c r="A41" s="41"/>
      <c r="C41" s="285" t="s">
        <v>174</v>
      </c>
      <c r="D41" s="286"/>
      <c r="F41" s="164">
        <f>IF('VIB SPEC SHEET'!$O$24='EQUIP AND MAT'!G41,IF(G41=C41,22,IF(G41=D41,IF(G41="","",47),"")),"")</f>
      </c>
      <c r="G41" s="164">
        <f>IF('VIB SPEC SHEET'!G$24="HS/HD/HDC/C",IF(C41="","",C41),IF('VIB SPEC SHEET'!G$24="B",IF(D41="","",D41),""))</f>
      </c>
      <c r="I41" s="37"/>
      <c r="L41" s="37"/>
      <c r="M41" s="37"/>
      <c r="N41" s="37"/>
      <c r="O41" s="37"/>
    </row>
    <row r="42" spans="1:15" ht="12.75">
      <c r="A42" s="41"/>
      <c r="C42" s="285"/>
      <c r="D42" s="286"/>
      <c r="F42" s="164">
        <f>IF('VIB SPEC SHEET'!$O$24='EQUIP AND MAT'!G42,IF(G42=C42,IF(G42="","",23),IF(G42=D42,IF(G42="","",48),"")),"")</f>
      </c>
      <c r="G42" s="164">
        <f>IF('VIB SPEC SHEET'!G$24="HS/HD/HDC/C",IF(C42="","",C42),IF('VIB SPEC SHEET'!G$24="B",IF(D42="","",D42),""))</f>
      </c>
      <c r="I42" s="37"/>
      <c r="L42" s="37"/>
      <c r="M42" s="37"/>
      <c r="N42" s="37"/>
      <c r="O42" s="37"/>
    </row>
    <row r="43" spans="3:15" ht="12.75">
      <c r="C43" s="285"/>
      <c r="D43" s="286"/>
      <c r="F43" s="164">
        <f>IF('VIB SPEC SHEET'!$O$24='EQUIP AND MAT'!G43,IF(G43=C43,IF(G43="","",24),IF(G43=D43,IF(G43="","",49),"")),"")</f>
      </c>
      <c r="G43" s="164">
        <f>IF('VIB SPEC SHEET'!G$24="HS/HD/HDC/C",IF(C43="","",C43),IF('VIB SPEC SHEET'!G$24="B",IF(D43="","",D43),""))</f>
      </c>
      <c r="I43" s="37"/>
      <c r="L43" s="37"/>
      <c r="M43" s="37"/>
      <c r="N43" s="37"/>
      <c r="O43" s="37"/>
    </row>
    <row r="44" spans="1:7" ht="12.75">
      <c r="A44" s="64"/>
      <c r="B44" s="41"/>
      <c r="C44" s="285"/>
      <c r="D44" s="286"/>
      <c r="E44" s="41"/>
      <c r="F44" s="164">
        <f>IF('VIB SPEC SHEET'!$O$24='EQUIP AND MAT'!G44,IF(G44=C44,IF(G44="","",25),IF(G44=D44,IF(G44="","",50),"")),"")</f>
      </c>
      <c r="G44" s="164">
        <f>IF('VIB SPEC SHEET'!G$24="HS/HD/HDC/C",IF(C44="","",C44),IF('VIB SPEC SHEET'!G$24="B",IF(D44="","",D44),""))</f>
      </c>
    </row>
    <row r="45" spans="1:6" ht="12.75">
      <c r="A45" s="41"/>
      <c r="B45" s="41"/>
      <c r="C45" s="41"/>
      <c r="D45" s="41"/>
      <c r="E45" s="41"/>
      <c r="F45" s="165">
        <f>SUM(F19:F44)</f>
        <v>0</v>
      </c>
    </row>
    <row r="46" spans="1:5" ht="12.75">
      <c r="A46" s="41"/>
      <c r="B46" s="41"/>
      <c r="C46" s="47"/>
      <c r="D46" s="41"/>
      <c r="E46" s="65"/>
    </row>
    <row r="47" spans="1:5" ht="12.75">
      <c r="A47" s="41"/>
      <c r="B47" s="41"/>
      <c r="C47" s="45"/>
      <c r="D47" s="41"/>
      <c r="E47" s="65"/>
    </row>
    <row r="48" spans="1:5" ht="12.75">
      <c r="A48" s="41"/>
      <c r="B48" s="41"/>
      <c r="C48" s="47"/>
      <c r="D48" s="41"/>
      <c r="E48" s="65"/>
    </row>
    <row r="49" spans="1:5" ht="12.75">
      <c r="A49" s="41"/>
      <c r="B49" s="41"/>
      <c r="C49" s="43"/>
      <c r="D49" s="41"/>
      <c r="E49" s="65"/>
    </row>
    <row r="50" spans="1:5" ht="12.75">
      <c r="A50" s="41"/>
      <c r="B50" s="41"/>
      <c r="C50" s="43"/>
      <c r="D50" s="41"/>
      <c r="E50" s="65"/>
    </row>
    <row r="51" spans="1:5" ht="12.75">
      <c r="A51" s="41"/>
      <c r="B51" s="41"/>
      <c r="C51" s="41"/>
      <c r="D51" s="41"/>
      <c r="E51" s="65"/>
    </row>
    <row r="52" spans="1:5" ht="12.75">
      <c r="A52" s="41"/>
      <c r="B52" s="41"/>
      <c r="C52" s="44"/>
      <c r="D52" s="41"/>
      <c r="E52" s="65"/>
    </row>
    <row r="53" spans="1:5" ht="12.75">
      <c r="A53" s="41"/>
      <c r="B53" s="41"/>
      <c r="C53" s="43"/>
      <c r="D53" s="41"/>
      <c r="E53" s="65"/>
    </row>
  </sheetData>
  <sheetProtection password="C18A" sheet="1" objects="1" scenarios="1"/>
  <mergeCells count="3">
    <mergeCell ref="J2:M7"/>
    <mergeCell ref="F17:F18"/>
    <mergeCell ref="F1:F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zoomScale="55" zoomScaleNormal="55" zoomScalePageLayoutView="0" workbookViewId="0" topLeftCell="A1">
      <selection activeCell="G11" sqref="G11"/>
    </sheetView>
  </sheetViews>
  <sheetFormatPr defaultColWidth="9.140625" defaultRowHeight="12.75"/>
  <cols>
    <col min="2" max="2" width="11.140625" style="0" customWidth="1"/>
    <col min="3" max="3" width="4.00390625" style="0" customWidth="1"/>
    <col min="4" max="4" width="15.140625" style="0" customWidth="1"/>
    <col min="9" max="9" width="8.7109375" style="0" customWidth="1"/>
    <col min="11" max="11" width="10.8515625" style="0" customWidth="1"/>
    <col min="12" max="12" width="4.00390625" style="0" customWidth="1"/>
    <col min="13" max="13" width="13.8515625" style="0" customWidth="1"/>
  </cols>
  <sheetData>
    <row r="1" spans="3:13" ht="15">
      <c r="C1" s="48"/>
      <c r="D1" s="48"/>
      <c r="E1" s="48"/>
      <c r="H1" s="48"/>
      <c r="I1" s="48"/>
      <c r="J1" s="48"/>
      <c r="K1" s="48"/>
      <c r="L1" s="48"/>
      <c r="M1" s="48"/>
    </row>
    <row r="2" spans="3:9" ht="15">
      <c r="C2" s="48"/>
      <c r="D2" s="48"/>
      <c r="E2" s="48"/>
      <c r="F2" s="4" t="s">
        <v>197</v>
      </c>
      <c r="H2" s="48"/>
      <c r="I2" s="48"/>
    </row>
    <row r="3" spans="3:9" ht="15">
      <c r="C3" s="48"/>
      <c r="D3" s="48"/>
      <c r="E3" s="168" t="s">
        <v>200</v>
      </c>
      <c r="F3" s="155">
        <f>IF('VIB SPEC SHEET'!G23="ELECTRO-MAGNETIC",IF(OR('VIB SPEC SHEET'!AG24=60,'VIB SPEC SHEET'!AG24=50),VLOOKUP('EQUIP AND MAT'!F45,'AMP TABLES'!C11:I64,IF('VIB SPEC SHEET'!AA24=115,3,IF('VIB SPEC SHEET'!AA24=230,4,IF('VIB SPEC SHEET'!AA24=380,5,IF('VIB SPEC SHEET'!AA24=460,6,IF('VIB SPEC SHEET'!AA24=575,7,"")))))),""),"")</f>
      </c>
      <c r="H3" s="48"/>
      <c r="I3" s="48"/>
    </row>
    <row r="4" spans="3:16" ht="15.75">
      <c r="C4" s="48"/>
      <c r="D4" s="48"/>
      <c r="E4" s="168" t="s">
        <v>201</v>
      </c>
      <c r="F4" s="155">
        <f>IF('VIB SPEC SHEET'!G23="ELECTRO-MAGNETIC",IF('VIB SPEC SHEET'!AG24=30,VLOOKUP('EQUIP AND MAT'!F45,'AMP TABLES'!L11:R64,IF('VIB SPEC SHEET'!AA24=115,3,IF('VIB SPEC SHEET'!AA24=230,4,IF('VIB SPEC SHEET'!AA24=380,5,IF('VIB SPEC SHEET'!AA24=460,6,IF('VIB SPEC SHEET'!AA24=575,7)))))),""),"")</f>
      </c>
      <c r="H4" s="39"/>
      <c r="J4" s="60"/>
      <c r="K4" s="395" t="s">
        <v>195</v>
      </c>
      <c r="L4" s="395"/>
      <c r="M4" s="395"/>
      <c r="N4" s="395"/>
      <c r="O4" s="395"/>
      <c r="P4" s="395"/>
    </row>
    <row r="5" spans="3:18" ht="15.75">
      <c r="C5" s="48"/>
      <c r="D5" s="48"/>
      <c r="E5" s="168" t="s">
        <v>202</v>
      </c>
      <c r="F5" s="155">
        <f>IF('VIB SPEC SHEET'!G23="MECHANICAL",IF(OR('VIB SPEC SHEET'!AG24=50,'VIB SPEC SHEET'!AG24=60),VLOOKUP('EQUIP AND MAT'!F15,'AMP TABLES'!C74:I84,IF('VIB SPEC SHEET'!AA24=115,3,IF('VIB SPEC SHEET'!AA24=230,4,IF('VIB SPEC SHEET'!AA24=380,5,IF('VIB SPEC SHEET'!AA24=460,6,IF('VIB SPEC SHEET'!AA24=575,7)))))),""),"")</f>
      </c>
      <c r="H5" s="48"/>
      <c r="J5" s="154"/>
      <c r="K5" s="395" t="s">
        <v>194</v>
      </c>
      <c r="L5" s="395"/>
      <c r="M5" s="395"/>
      <c r="N5" s="395"/>
      <c r="O5" s="395"/>
      <c r="P5" s="395"/>
      <c r="Q5" s="62"/>
      <c r="R5" s="62"/>
    </row>
    <row r="6" spans="3:19" ht="15">
      <c r="C6" s="48"/>
      <c r="D6" s="48"/>
      <c r="E6" s="168" t="s">
        <v>203</v>
      </c>
      <c r="F6" s="155">
        <f>IF('VIB SPEC SHEET'!G23="MECHANICAL",IF('VIB SPEC SHEET'!AG24=30,VLOOKUP('EQUIP AND MAT'!F15,'CONTROL DISCRIPTION'!BQ294:BW304,IF('VIB SPEC SHEET'!AA24=115,3,IF('VIB SPEC SHEET'!AA24=230,4,IF('VIB SPEC SHEET'!AA24=380,5,IF('VIB SPEC SHEET'!AA24=460,6,IF('VIB SPEC SHEET'!AA24=575,7)))))),""),"")</f>
      </c>
      <c r="I6" s="48"/>
      <c r="J6" s="48"/>
      <c r="S6" s="41"/>
    </row>
    <row r="7" spans="2:7" ht="15">
      <c r="B7" s="48"/>
      <c r="C7" s="48"/>
      <c r="D7" s="48"/>
      <c r="E7" s="48"/>
      <c r="F7" s="48"/>
      <c r="G7" s="48"/>
    </row>
    <row r="8" spans="2:3" ht="8.25" customHeight="1" thickBot="1">
      <c r="B8" s="48"/>
      <c r="C8" s="48"/>
    </row>
    <row r="9" spans="2:13" ht="21.75" customHeight="1" thickBot="1">
      <c r="B9" s="48"/>
      <c r="C9" s="48"/>
      <c r="D9" s="169" t="s">
        <v>196</v>
      </c>
      <c r="M9" s="149" t="s">
        <v>155</v>
      </c>
    </row>
    <row r="10" spans="4:18" ht="25.5">
      <c r="D10" s="148" t="s">
        <v>104</v>
      </c>
      <c r="E10" s="61" t="s">
        <v>105</v>
      </c>
      <c r="F10" s="61" t="s">
        <v>106</v>
      </c>
      <c r="G10" s="61" t="s">
        <v>161</v>
      </c>
      <c r="H10" s="61" t="s">
        <v>107</v>
      </c>
      <c r="I10" s="61" t="s">
        <v>160</v>
      </c>
      <c r="M10" s="148" t="s">
        <v>104</v>
      </c>
      <c r="N10" s="61" t="s">
        <v>105</v>
      </c>
      <c r="O10" s="61" t="s">
        <v>106</v>
      </c>
      <c r="P10" s="61" t="s">
        <v>161</v>
      </c>
      <c r="Q10" s="61" t="s">
        <v>107</v>
      </c>
      <c r="R10" s="61" t="s">
        <v>160</v>
      </c>
    </row>
    <row r="11" spans="2:18" ht="15.75">
      <c r="B11" s="150" t="s">
        <v>151</v>
      </c>
      <c r="C11" s="159">
        <v>1</v>
      </c>
      <c r="D11" s="287" t="str">
        <f>'EQUIP AND MAT'!C20</f>
        <v>15A</v>
      </c>
      <c r="E11" s="249">
        <v>0.5</v>
      </c>
      <c r="F11" s="249">
        <f aca="true" t="shared" si="0" ref="F11:F26">E11*0.5</f>
        <v>0.25</v>
      </c>
      <c r="G11" s="250"/>
      <c r="H11" s="251">
        <f>E11*1/4</f>
        <v>0.125</v>
      </c>
      <c r="I11" s="250"/>
      <c r="K11" s="150" t="s">
        <v>151</v>
      </c>
      <c r="L11" s="159">
        <v>1</v>
      </c>
      <c r="M11" s="287" t="str">
        <f>'EQUIP AND MAT'!C20</f>
        <v>15A</v>
      </c>
      <c r="N11" s="250"/>
      <c r="O11" s="250">
        <f>IF(N11="","",N11*0.5)</f>
      </c>
      <c r="P11" s="250"/>
      <c r="Q11" s="258">
        <f>IF(N11="","",N11*115/460)</f>
      </c>
      <c r="R11" s="250"/>
    </row>
    <row r="12" spans="3:18" ht="12.75">
      <c r="C12" s="158">
        <v>2</v>
      </c>
      <c r="D12" s="287" t="str">
        <f>'EQUIP AND MAT'!C21</f>
        <v>26C</v>
      </c>
      <c r="E12" s="249">
        <v>1.1</v>
      </c>
      <c r="F12" s="249">
        <f t="shared" si="0"/>
        <v>0.55</v>
      </c>
      <c r="G12" s="250"/>
      <c r="H12" s="251">
        <f>E12*1/4</f>
        <v>0.275</v>
      </c>
      <c r="I12" s="250"/>
      <c r="L12" s="158">
        <v>2</v>
      </c>
      <c r="M12" s="287" t="str">
        <f>'EQUIP AND MAT'!C21</f>
        <v>26C</v>
      </c>
      <c r="N12" s="250"/>
      <c r="O12" s="250">
        <f aca="true" t="shared" si="1" ref="O12:O26">IF(N12="","",N12*0.5)</f>
      </c>
      <c r="P12" s="250"/>
      <c r="Q12" s="258">
        <f aca="true" t="shared" si="2" ref="Q12:Q26">IF(N12="","",N12*115/460)</f>
      </c>
      <c r="R12" s="250"/>
    </row>
    <row r="13" spans="3:18" ht="12.75">
      <c r="C13" s="158">
        <v>3</v>
      </c>
      <c r="D13" s="287" t="str">
        <f>'EQUIP AND MAT'!C22</f>
        <v>36C</v>
      </c>
      <c r="E13" s="249">
        <v>2.9</v>
      </c>
      <c r="F13" s="249">
        <f t="shared" si="0"/>
        <v>1.45</v>
      </c>
      <c r="G13" s="250"/>
      <c r="H13" s="251">
        <f>E13*1/4</f>
        <v>0.725</v>
      </c>
      <c r="I13" s="250"/>
      <c r="L13" s="158">
        <v>3</v>
      </c>
      <c r="M13" s="287" t="str">
        <f>'EQUIP AND MAT'!C22</f>
        <v>36C</v>
      </c>
      <c r="N13" s="250"/>
      <c r="O13" s="250">
        <f t="shared" si="1"/>
      </c>
      <c r="P13" s="250"/>
      <c r="Q13" s="258">
        <f t="shared" si="2"/>
      </c>
      <c r="R13" s="250"/>
    </row>
    <row r="14" spans="3:18" ht="12.75">
      <c r="C14" s="158">
        <v>4</v>
      </c>
      <c r="D14" s="287" t="str">
        <f>'EQUIP AND MAT'!C23</f>
        <v>46C</v>
      </c>
      <c r="E14" s="249">
        <v>4.2</v>
      </c>
      <c r="F14" s="249">
        <f t="shared" si="0"/>
        <v>2.1</v>
      </c>
      <c r="G14" s="250"/>
      <c r="H14" s="251">
        <f>E14*1/4</f>
        <v>1.05</v>
      </c>
      <c r="I14" s="250"/>
      <c r="L14" s="158">
        <v>4</v>
      </c>
      <c r="M14" s="287" t="str">
        <f>'EQUIP AND MAT'!C23</f>
        <v>46C</v>
      </c>
      <c r="N14" s="250"/>
      <c r="O14" s="250">
        <f t="shared" si="1"/>
      </c>
      <c r="P14" s="250"/>
      <c r="Q14" s="258">
        <f t="shared" si="2"/>
      </c>
      <c r="R14" s="250"/>
    </row>
    <row r="15" spans="3:18" ht="12.75">
      <c r="C15" s="158">
        <v>5</v>
      </c>
      <c r="D15" s="287" t="str">
        <f>'EQUIP AND MAT'!C24</f>
        <v>48A</v>
      </c>
      <c r="E15" s="249">
        <v>2</v>
      </c>
      <c r="F15" s="249">
        <f t="shared" si="0"/>
        <v>1</v>
      </c>
      <c r="G15" s="250"/>
      <c r="H15" s="251">
        <f aca="true" t="shared" si="3" ref="H15:H26">E15*1/4</f>
        <v>0.5</v>
      </c>
      <c r="I15" s="250"/>
      <c r="L15" s="158">
        <v>5</v>
      </c>
      <c r="M15" s="287" t="str">
        <f>'EQUIP AND MAT'!C24</f>
        <v>48A</v>
      </c>
      <c r="N15" s="250"/>
      <c r="O15" s="250">
        <f t="shared" si="1"/>
      </c>
      <c r="P15" s="250"/>
      <c r="Q15" s="258">
        <f t="shared" si="2"/>
      </c>
      <c r="R15" s="250"/>
    </row>
    <row r="16" spans="3:18" ht="12.75">
      <c r="C16" s="158">
        <v>6</v>
      </c>
      <c r="D16" s="287" t="str">
        <f>'EQUIP AND MAT'!C25</f>
        <v>56C</v>
      </c>
      <c r="E16" s="249">
        <v>6.6</v>
      </c>
      <c r="F16" s="249">
        <f t="shared" si="0"/>
        <v>3.3</v>
      </c>
      <c r="G16" s="250"/>
      <c r="H16" s="251">
        <f t="shared" si="3"/>
        <v>1.65</v>
      </c>
      <c r="I16" s="250"/>
      <c r="L16" s="158">
        <v>6</v>
      </c>
      <c r="M16" s="287" t="str">
        <f>'EQUIP AND MAT'!C25</f>
        <v>56C</v>
      </c>
      <c r="N16" s="250"/>
      <c r="O16" s="250">
        <f t="shared" si="1"/>
      </c>
      <c r="P16" s="250"/>
      <c r="Q16" s="258">
        <f t="shared" si="2"/>
      </c>
      <c r="R16" s="250"/>
    </row>
    <row r="17" spans="3:18" ht="12.75">
      <c r="C17" s="158">
        <v>7</v>
      </c>
      <c r="D17" s="287" t="str">
        <f>'EQUIP AND MAT'!C26</f>
        <v>66C</v>
      </c>
      <c r="E17" s="249">
        <v>8.25</v>
      </c>
      <c r="F17" s="249">
        <f t="shared" si="0"/>
        <v>4.125</v>
      </c>
      <c r="G17" s="250"/>
      <c r="H17" s="251">
        <f t="shared" si="3"/>
        <v>2.0625</v>
      </c>
      <c r="I17" s="250"/>
      <c r="L17" s="158">
        <v>7</v>
      </c>
      <c r="M17" s="287" t="str">
        <f>'EQUIP AND MAT'!C26</f>
        <v>66C</v>
      </c>
      <c r="N17" s="250"/>
      <c r="O17" s="250">
        <f t="shared" si="1"/>
      </c>
      <c r="P17" s="250"/>
      <c r="Q17" s="258">
        <f t="shared" si="2"/>
      </c>
      <c r="R17" s="250"/>
    </row>
    <row r="18" spans="1:18" ht="12.75">
      <c r="A18" s="623" t="s">
        <v>156</v>
      </c>
      <c r="C18" s="158">
        <v>8</v>
      </c>
      <c r="D18" s="287" t="str">
        <f>'EQUIP AND MAT'!C27</f>
        <v>HS5 </v>
      </c>
      <c r="E18" s="249">
        <v>0.6</v>
      </c>
      <c r="F18" s="249">
        <f t="shared" si="0"/>
        <v>0.3</v>
      </c>
      <c r="G18" s="250"/>
      <c r="H18" s="251">
        <f t="shared" si="3"/>
        <v>0.15</v>
      </c>
      <c r="I18" s="250"/>
      <c r="L18" s="158">
        <v>8</v>
      </c>
      <c r="M18" s="287" t="str">
        <f>'EQUIP AND MAT'!C27</f>
        <v>HS5 </v>
      </c>
      <c r="N18" s="250"/>
      <c r="O18" s="250">
        <f t="shared" si="1"/>
      </c>
      <c r="P18" s="250"/>
      <c r="Q18" s="258">
        <f t="shared" si="2"/>
      </c>
      <c r="R18" s="250"/>
    </row>
    <row r="19" spans="1:18" ht="12.75">
      <c r="A19" s="623"/>
      <c r="C19" s="158">
        <v>9</v>
      </c>
      <c r="D19" s="287" t="str">
        <f>'EQUIP AND MAT'!C28</f>
        <v>HS10</v>
      </c>
      <c r="E19" s="249">
        <v>1</v>
      </c>
      <c r="F19" s="249">
        <f t="shared" si="0"/>
        <v>0.5</v>
      </c>
      <c r="G19" s="250"/>
      <c r="H19" s="251">
        <f t="shared" si="3"/>
        <v>0.25</v>
      </c>
      <c r="I19" s="250"/>
      <c r="L19" s="158">
        <v>9</v>
      </c>
      <c r="M19" s="287" t="str">
        <f>'EQUIP AND MAT'!C28</f>
        <v>HS10</v>
      </c>
      <c r="N19" s="250"/>
      <c r="O19" s="250">
        <f t="shared" si="1"/>
      </c>
      <c r="P19" s="250"/>
      <c r="Q19" s="258">
        <f t="shared" si="2"/>
      </c>
      <c r="R19" s="250"/>
    </row>
    <row r="20" spans="1:18" ht="12.75">
      <c r="A20" s="623"/>
      <c r="C20" s="158">
        <v>10</v>
      </c>
      <c r="D20" s="287" t="str">
        <f>'EQUIP AND MAT'!C29</f>
        <v>HS26</v>
      </c>
      <c r="E20" s="249">
        <v>1.2</v>
      </c>
      <c r="F20" s="249">
        <f t="shared" si="0"/>
        <v>0.6</v>
      </c>
      <c r="G20" s="250"/>
      <c r="H20" s="251">
        <f t="shared" si="3"/>
        <v>0.3</v>
      </c>
      <c r="I20" s="250"/>
      <c r="L20" s="158">
        <v>10</v>
      </c>
      <c r="M20" s="287" t="str">
        <f>'EQUIP AND MAT'!C29</f>
        <v>HS26</v>
      </c>
      <c r="N20" s="250"/>
      <c r="O20" s="250">
        <f t="shared" si="1"/>
      </c>
      <c r="P20" s="250"/>
      <c r="Q20" s="258">
        <f t="shared" si="2"/>
      </c>
      <c r="R20" s="250"/>
    </row>
    <row r="21" spans="1:18" ht="12.75">
      <c r="A21" s="623"/>
      <c r="C21" s="158">
        <v>11</v>
      </c>
      <c r="D21" s="287" t="str">
        <f>'EQUIP AND MAT'!C30</f>
        <v>HS36</v>
      </c>
      <c r="E21" s="249">
        <v>2.2</v>
      </c>
      <c r="F21" s="249">
        <f t="shared" si="0"/>
        <v>1.1</v>
      </c>
      <c r="G21" s="250"/>
      <c r="H21" s="251">
        <f t="shared" si="3"/>
        <v>0.55</v>
      </c>
      <c r="I21" s="250"/>
      <c r="L21" s="158">
        <v>11</v>
      </c>
      <c r="M21" s="287" t="str">
        <f>'EQUIP AND MAT'!C30</f>
        <v>HS36</v>
      </c>
      <c r="N21" s="250"/>
      <c r="O21" s="250">
        <f t="shared" si="1"/>
      </c>
      <c r="P21" s="250"/>
      <c r="Q21" s="258">
        <f t="shared" si="2"/>
      </c>
      <c r="R21" s="250"/>
    </row>
    <row r="22" spans="1:18" ht="12.75">
      <c r="A22" s="623"/>
      <c r="C22" s="158">
        <v>12</v>
      </c>
      <c r="D22" s="287" t="str">
        <f>'EQUIP AND MAT'!C31</f>
        <v>HS42</v>
      </c>
      <c r="E22" s="249">
        <v>2</v>
      </c>
      <c r="F22" s="249">
        <f t="shared" si="0"/>
        <v>1</v>
      </c>
      <c r="G22" s="250"/>
      <c r="H22" s="251">
        <f t="shared" si="3"/>
        <v>0.5</v>
      </c>
      <c r="I22" s="250"/>
      <c r="L22" s="158">
        <v>12</v>
      </c>
      <c r="M22" s="287" t="str">
        <f>'EQUIP AND MAT'!C31</f>
        <v>HS42</v>
      </c>
      <c r="N22" s="250"/>
      <c r="O22" s="250">
        <f t="shared" si="1"/>
      </c>
      <c r="P22" s="250"/>
      <c r="Q22" s="258">
        <f t="shared" si="2"/>
      </c>
      <c r="R22" s="250"/>
    </row>
    <row r="23" spans="1:18" ht="12.75">
      <c r="A23" s="623"/>
      <c r="C23" s="158">
        <v>13</v>
      </c>
      <c r="D23" s="287" t="str">
        <f>'EQUIP AND MAT'!C32</f>
        <v>HS46</v>
      </c>
      <c r="E23" s="249">
        <v>2.4</v>
      </c>
      <c r="F23" s="249">
        <f t="shared" si="0"/>
        <v>1.2</v>
      </c>
      <c r="G23" s="250"/>
      <c r="H23" s="251">
        <f t="shared" si="3"/>
        <v>0.6</v>
      </c>
      <c r="I23" s="250"/>
      <c r="L23" s="158">
        <v>13</v>
      </c>
      <c r="M23" s="287" t="str">
        <f>'EQUIP AND MAT'!C32</f>
        <v>HS46</v>
      </c>
      <c r="N23" s="250"/>
      <c r="O23" s="250">
        <f t="shared" si="1"/>
      </c>
      <c r="P23" s="250"/>
      <c r="Q23" s="258">
        <f t="shared" si="2"/>
      </c>
      <c r="R23" s="250"/>
    </row>
    <row r="24" spans="1:18" ht="12.75">
      <c r="A24" s="623"/>
      <c r="C24" s="158">
        <v>14</v>
      </c>
      <c r="D24" s="287" t="str">
        <f>'EQUIP AND MAT'!C33</f>
        <v>HS56</v>
      </c>
      <c r="E24" s="249">
        <v>2.6</v>
      </c>
      <c r="F24" s="249">
        <f t="shared" si="0"/>
        <v>1.3</v>
      </c>
      <c r="G24" s="250"/>
      <c r="H24" s="251">
        <f t="shared" si="3"/>
        <v>0.65</v>
      </c>
      <c r="I24" s="250"/>
      <c r="L24" s="158">
        <v>14</v>
      </c>
      <c r="M24" s="287" t="str">
        <f>'EQUIP AND MAT'!C33</f>
        <v>HS56</v>
      </c>
      <c r="N24" s="250"/>
      <c r="O24" s="250">
        <f t="shared" si="1"/>
      </c>
      <c r="P24" s="250"/>
      <c r="Q24" s="258">
        <f t="shared" si="2"/>
      </c>
      <c r="R24" s="250"/>
    </row>
    <row r="25" spans="1:18" ht="12.75">
      <c r="A25" s="623"/>
      <c r="C25" s="158">
        <v>15</v>
      </c>
      <c r="D25" s="287" t="str">
        <f>'EQUIP AND MAT'!C34</f>
        <v>HS66</v>
      </c>
      <c r="E25" s="249">
        <v>3.2</v>
      </c>
      <c r="F25" s="249">
        <f t="shared" si="0"/>
        <v>1.6</v>
      </c>
      <c r="G25" s="250"/>
      <c r="H25" s="251">
        <f t="shared" si="3"/>
        <v>0.8</v>
      </c>
      <c r="I25" s="250"/>
      <c r="L25" s="158">
        <v>15</v>
      </c>
      <c r="M25" s="287" t="str">
        <f>'EQUIP AND MAT'!C34</f>
        <v>HS66</v>
      </c>
      <c r="N25" s="250"/>
      <c r="O25" s="250">
        <f t="shared" si="1"/>
      </c>
      <c r="P25" s="250"/>
      <c r="Q25" s="258">
        <f t="shared" si="2"/>
      </c>
      <c r="R25" s="250"/>
    </row>
    <row r="26" spans="1:18" ht="12.75">
      <c r="A26" s="623"/>
      <c r="C26" s="158">
        <v>16</v>
      </c>
      <c r="D26" s="287" t="str">
        <f>'EQUIP AND MAT'!C35</f>
        <v>HSB4 </v>
      </c>
      <c r="E26" s="249">
        <v>2.5</v>
      </c>
      <c r="F26" s="249">
        <f t="shared" si="0"/>
        <v>1.25</v>
      </c>
      <c r="G26" s="250"/>
      <c r="H26" s="251">
        <f t="shared" si="3"/>
        <v>0.625</v>
      </c>
      <c r="I26" s="250"/>
      <c r="L26" s="158">
        <v>16</v>
      </c>
      <c r="M26" s="287" t="str">
        <f>'EQUIP AND MAT'!C35</f>
        <v>HSB4 </v>
      </c>
      <c r="N26" s="250"/>
      <c r="O26" s="250">
        <f t="shared" si="1"/>
      </c>
      <c r="P26" s="250"/>
      <c r="Q26" s="258">
        <f t="shared" si="2"/>
      </c>
      <c r="R26" s="250"/>
    </row>
    <row r="27" spans="1:18" ht="12.75">
      <c r="A27" s="623"/>
      <c r="C27" s="158">
        <v>17</v>
      </c>
      <c r="D27" s="287" t="str">
        <f>'EQUIP AND MAT'!C36</f>
        <v>HD46</v>
      </c>
      <c r="E27" s="252"/>
      <c r="F27" s="252"/>
      <c r="G27" s="250"/>
      <c r="H27" s="252"/>
      <c r="I27" s="250"/>
      <c r="L27" s="158">
        <v>17</v>
      </c>
      <c r="M27" s="287" t="str">
        <f>'EQUIP AND MAT'!C36</f>
        <v>HD46</v>
      </c>
      <c r="N27" s="253">
        <v>1.5</v>
      </c>
      <c r="O27" s="252"/>
      <c r="P27" s="250"/>
      <c r="Q27" s="252"/>
      <c r="R27" s="250"/>
    </row>
    <row r="28" spans="1:18" ht="12.75">
      <c r="A28" s="623"/>
      <c r="C28" s="158">
        <v>18</v>
      </c>
      <c r="D28" s="287" t="str">
        <f>'EQUIP AND MAT'!C37</f>
        <v>HD56</v>
      </c>
      <c r="E28" s="252"/>
      <c r="F28" s="252"/>
      <c r="G28" s="250"/>
      <c r="H28" s="252"/>
      <c r="I28" s="250"/>
      <c r="L28" s="158">
        <v>18</v>
      </c>
      <c r="M28" s="287" t="str">
        <f>'EQUIP AND MAT'!C37</f>
        <v>HD56</v>
      </c>
      <c r="N28" s="253">
        <v>1.4</v>
      </c>
      <c r="O28" s="253">
        <v>0.7</v>
      </c>
      <c r="P28" s="250"/>
      <c r="Q28" s="252"/>
      <c r="R28" s="250"/>
    </row>
    <row r="29" spans="1:18" ht="12.75">
      <c r="A29" s="623"/>
      <c r="C29" s="158">
        <v>19</v>
      </c>
      <c r="D29" s="287" t="str">
        <f>'EQUIP AND MAT'!C38</f>
        <v>HD66</v>
      </c>
      <c r="E29" s="253">
        <v>5.2</v>
      </c>
      <c r="F29" s="252"/>
      <c r="G29" s="250"/>
      <c r="H29" s="252"/>
      <c r="I29" s="250"/>
      <c r="L29" s="158">
        <v>19</v>
      </c>
      <c r="M29" s="287" t="str">
        <f>'EQUIP AND MAT'!C38</f>
        <v>HD66</v>
      </c>
      <c r="N29" s="252"/>
      <c r="O29" s="252"/>
      <c r="P29" s="250"/>
      <c r="Q29" s="252"/>
      <c r="R29" s="250"/>
    </row>
    <row r="30" spans="1:18" ht="12.75">
      <c r="A30" s="623"/>
      <c r="C30" s="158">
        <v>20</v>
      </c>
      <c r="D30" s="287" t="str">
        <f>'EQUIP AND MAT'!C39</f>
        <v>HD46C</v>
      </c>
      <c r="E30" s="252"/>
      <c r="F30" s="252"/>
      <c r="G30" s="250"/>
      <c r="H30" s="252"/>
      <c r="I30" s="250"/>
      <c r="L30" s="158">
        <v>20</v>
      </c>
      <c r="M30" s="287" t="str">
        <f>'EQUIP AND MAT'!C39</f>
        <v>HD46C</v>
      </c>
      <c r="N30" s="253">
        <v>5.2</v>
      </c>
      <c r="O30" s="252"/>
      <c r="P30" s="250"/>
      <c r="Q30" s="252"/>
      <c r="R30" s="250"/>
    </row>
    <row r="31" spans="1:18" ht="15">
      <c r="A31" s="623"/>
      <c r="B31" s="48"/>
      <c r="C31" s="160">
        <v>21</v>
      </c>
      <c r="D31" s="287" t="str">
        <f>'EQUIP AND MAT'!C40</f>
        <v>HD56C</v>
      </c>
      <c r="E31" s="252"/>
      <c r="F31" s="252"/>
      <c r="G31" s="250"/>
      <c r="H31" s="252"/>
      <c r="I31" s="250"/>
      <c r="L31" s="160">
        <v>21</v>
      </c>
      <c r="M31" s="287" t="str">
        <f>'EQUIP AND MAT'!C40</f>
        <v>HD56C</v>
      </c>
      <c r="N31" s="253">
        <v>6.4</v>
      </c>
      <c r="O31" s="253">
        <v>3.2</v>
      </c>
      <c r="P31" s="250"/>
      <c r="Q31" s="252"/>
      <c r="R31" s="250"/>
    </row>
    <row r="32" spans="1:18" ht="15">
      <c r="A32" s="623"/>
      <c r="B32" s="48"/>
      <c r="C32" s="160">
        <v>22</v>
      </c>
      <c r="D32" s="287" t="str">
        <f>'EQUIP AND MAT'!C41</f>
        <v>HD66C</v>
      </c>
      <c r="E32" s="254"/>
      <c r="F32" s="254"/>
      <c r="G32" s="255"/>
      <c r="H32" s="254"/>
      <c r="I32" s="255"/>
      <c r="L32" s="160">
        <v>22</v>
      </c>
      <c r="M32" s="287" t="str">
        <f>'EQUIP AND MAT'!C41</f>
        <v>HD66C</v>
      </c>
      <c r="N32" s="252"/>
      <c r="O32" s="259">
        <v>2.6</v>
      </c>
      <c r="P32" s="250"/>
      <c r="Q32" s="254"/>
      <c r="R32" s="250"/>
    </row>
    <row r="33" spans="1:18" ht="15">
      <c r="A33" s="623"/>
      <c r="B33" s="48"/>
      <c r="C33" s="160">
        <v>23</v>
      </c>
      <c r="D33" s="288">
        <f>IF('EQUIP AND MAT'!C42="","",'EQUIP AND MAT'!C42)</f>
      </c>
      <c r="E33" s="256"/>
      <c r="F33" s="256"/>
      <c r="G33" s="256"/>
      <c r="H33" s="256"/>
      <c r="I33" s="256"/>
      <c r="L33" s="160">
        <v>23</v>
      </c>
      <c r="M33" s="288">
        <f>IF('EQUIP AND MAT'!C42="","",'EQUIP AND MAT'!C42)</f>
      </c>
      <c r="N33" s="260"/>
      <c r="O33" s="256"/>
      <c r="P33" s="256"/>
      <c r="Q33" s="256"/>
      <c r="R33" s="256"/>
    </row>
    <row r="34" spans="1:18" ht="12.75">
      <c r="A34" s="623"/>
      <c r="C34" s="161">
        <v>24</v>
      </c>
      <c r="D34" s="288">
        <f>IF('EQUIP AND MAT'!C43="","",'EQUIP AND MAT'!C43)</f>
      </c>
      <c r="E34" s="256"/>
      <c r="F34" s="256"/>
      <c r="G34" s="256"/>
      <c r="H34" s="256"/>
      <c r="I34" s="256"/>
      <c r="L34" s="161">
        <v>24</v>
      </c>
      <c r="M34" s="288">
        <f>IF('EQUIP AND MAT'!C43="","",'EQUIP AND MAT'!C43)</f>
      </c>
      <c r="N34" s="256"/>
      <c r="O34" s="256"/>
      <c r="P34" s="256"/>
      <c r="Q34" s="256"/>
      <c r="R34" s="256"/>
    </row>
    <row r="35" spans="1:18" ht="13.5" thickBot="1">
      <c r="A35" s="623"/>
      <c r="C35" s="161">
        <v>25</v>
      </c>
      <c r="D35" s="289">
        <f>IF('EQUIP AND MAT'!C44="","",'EQUIP AND MAT'!C44)</f>
      </c>
      <c r="E35" s="257"/>
      <c r="F35" s="257"/>
      <c r="G35" s="257"/>
      <c r="H35" s="257"/>
      <c r="I35" s="257"/>
      <c r="L35" s="161">
        <v>25</v>
      </c>
      <c r="M35" s="289">
        <f>IF('EQUIP AND MAT'!C44="","",'EQUIP AND MAT'!C44)</f>
      </c>
      <c r="N35" s="257"/>
      <c r="O35" s="257"/>
      <c r="P35" s="257"/>
      <c r="Q35" s="257"/>
      <c r="R35" s="257"/>
    </row>
    <row r="36" ht="12.75">
      <c r="A36" s="623"/>
    </row>
    <row r="37" spans="1:18" ht="13.5" thickBot="1">
      <c r="A37" s="623"/>
      <c r="D37" s="11"/>
      <c r="G37" s="11"/>
      <c r="I37" s="11"/>
      <c r="M37" s="11"/>
      <c r="P37" s="11"/>
      <c r="R37" s="11"/>
    </row>
    <row r="38" spans="1:18" ht="15.75">
      <c r="A38" s="623"/>
      <c r="B38" s="151" t="s">
        <v>152</v>
      </c>
      <c r="C38" s="159">
        <v>26</v>
      </c>
      <c r="D38" s="290" t="str">
        <f>'EQUIP AND MAT'!D20</f>
        <v>52A</v>
      </c>
      <c r="E38" s="261">
        <v>3.8</v>
      </c>
      <c r="F38" s="262">
        <v>1.82</v>
      </c>
      <c r="G38" s="263"/>
      <c r="H38" s="262">
        <v>0.9</v>
      </c>
      <c r="I38" s="263"/>
      <c r="K38" s="150" t="s">
        <v>152</v>
      </c>
      <c r="L38" s="159">
        <v>26</v>
      </c>
      <c r="M38" s="290" t="str">
        <f>'EQUIP AND MAT'!D20</f>
        <v>52A</v>
      </c>
      <c r="N38" s="267"/>
      <c r="O38" s="267"/>
      <c r="P38" s="263"/>
      <c r="Q38" s="267"/>
      <c r="R38" s="263"/>
    </row>
    <row r="39" spans="1:18" ht="15">
      <c r="A39" s="623"/>
      <c r="B39" s="48"/>
      <c r="C39" s="160">
        <v>27</v>
      </c>
      <c r="D39" s="291" t="str">
        <f>'EQUIP AND MAT'!D21</f>
        <v>58B</v>
      </c>
      <c r="E39" s="249">
        <v>6.4</v>
      </c>
      <c r="F39" s="249">
        <v>3</v>
      </c>
      <c r="G39" s="250"/>
      <c r="H39" s="264">
        <v>1.4</v>
      </c>
      <c r="I39" s="250"/>
      <c r="L39" s="160">
        <v>27</v>
      </c>
      <c r="M39" s="291" t="str">
        <f>'EQUIP AND MAT'!D21</f>
        <v>58B</v>
      </c>
      <c r="N39" s="250"/>
      <c r="O39" s="250"/>
      <c r="P39" s="250"/>
      <c r="Q39" s="250"/>
      <c r="R39" s="250"/>
    </row>
    <row r="40" spans="1:18" ht="15">
      <c r="A40" s="623"/>
      <c r="B40" s="48"/>
      <c r="C40" s="160">
        <v>28</v>
      </c>
      <c r="D40" s="291" t="str">
        <f>'EQUIP AND MAT'!D22</f>
        <v>62B</v>
      </c>
      <c r="E40" s="249">
        <v>15</v>
      </c>
      <c r="F40" s="249">
        <v>7.5</v>
      </c>
      <c r="G40" s="250"/>
      <c r="H40" s="264">
        <v>4</v>
      </c>
      <c r="I40" s="250"/>
      <c r="L40" s="160">
        <v>28</v>
      </c>
      <c r="M40" s="291" t="str">
        <f>'EQUIP AND MAT'!D22</f>
        <v>62B</v>
      </c>
      <c r="N40" s="250"/>
      <c r="O40" s="250"/>
      <c r="P40" s="250"/>
      <c r="Q40" s="250"/>
      <c r="R40" s="250"/>
    </row>
    <row r="41" spans="1:18" ht="15">
      <c r="A41" s="623"/>
      <c r="B41" s="48"/>
      <c r="C41" s="160">
        <v>29</v>
      </c>
      <c r="D41" s="291" t="str">
        <f>'EQUIP AND MAT'!D23</f>
        <v>65B</v>
      </c>
      <c r="E41" s="249">
        <v>15</v>
      </c>
      <c r="F41" s="264">
        <v>7.5</v>
      </c>
      <c r="G41" s="250"/>
      <c r="H41" s="264">
        <v>4</v>
      </c>
      <c r="I41" s="250"/>
      <c r="L41" s="160">
        <v>29</v>
      </c>
      <c r="M41" s="291" t="str">
        <f>'EQUIP AND MAT'!D23</f>
        <v>65B</v>
      </c>
      <c r="N41" s="250"/>
      <c r="O41" s="250"/>
      <c r="P41" s="250"/>
      <c r="Q41" s="250"/>
      <c r="R41" s="250"/>
    </row>
    <row r="42" spans="1:18" ht="12.75">
      <c r="A42" s="623"/>
      <c r="C42" s="161">
        <v>30</v>
      </c>
      <c r="D42" s="291" t="str">
        <f>'EQUIP AND MAT'!D24</f>
        <v>70B</v>
      </c>
      <c r="E42" s="249">
        <v>25.5</v>
      </c>
      <c r="F42" s="264">
        <v>12.5</v>
      </c>
      <c r="G42" s="250"/>
      <c r="H42" s="264">
        <v>6.1</v>
      </c>
      <c r="I42" s="250"/>
      <c r="L42" s="161">
        <v>30</v>
      </c>
      <c r="M42" s="291" t="str">
        <f>'EQUIP AND MAT'!D24</f>
        <v>70B</v>
      </c>
      <c r="N42" s="250"/>
      <c r="O42" s="250"/>
      <c r="P42" s="250"/>
      <c r="Q42" s="250"/>
      <c r="R42" s="250"/>
    </row>
    <row r="43" spans="1:18" ht="15">
      <c r="A43" s="623"/>
      <c r="B43" s="48"/>
      <c r="C43" s="160">
        <v>31</v>
      </c>
      <c r="D43" s="291" t="str">
        <f>'EQUIP AND MAT'!D25</f>
        <v>75B</v>
      </c>
      <c r="E43" s="249">
        <v>25.5</v>
      </c>
      <c r="F43" s="264">
        <v>12.5</v>
      </c>
      <c r="G43" s="250"/>
      <c r="H43" s="264">
        <v>6.1</v>
      </c>
      <c r="I43" s="250"/>
      <c r="L43" s="160">
        <v>31</v>
      </c>
      <c r="M43" s="291" t="str">
        <f>'EQUIP AND MAT'!D25</f>
        <v>75B</v>
      </c>
      <c r="N43" s="250"/>
      <c r="O43" s="250"/>
      <c r="P43" s="250"/>
      <c r="Q43" s="250"/>
      <c r="R43" s="250"/>
    </row>
    <row r="44" spans="1:18" ht="15">
      <c r="A44" s="623"/>
      <c r="B44" s="48"/>
      <c r="C44" s="160">
        <v>32</v>
      </c>
      <c r="D44" s="291" t="str">
        <f>'EQUIP AND MAT'!D26</f>
        <v>85B</v>
      </c>
      <c r="E44" s="249" t="s">
        <v>154</v>
      </c>
      <c r="F44" s="264">
        <v>25.6</v>
      </c>
      <c r="G44" s="250"/>
      <c r="H44" s="264">
        <v>12.75</v>
      </c>
      <c r="I44" s="250"/>
      <c r="L44" s="160">
        <v>32</v>
      </c>
      <c r="M44" s="291" t="str">
        <f>'EQUIP AND MAT'!D26</f>
        <v>85B</v>
      </c>
      <c r="N44" s="250"/>
      <c r="O44" s="250"/>
      <c r="P44" s="250"/>
      <c r="Q44" s="250"/>
      <c r="R44" s="250"/>
    </row>
    <row r="45" spans="1:18" ht="15">
      <c r="A45" s="623"/>
      <c r="B45" s="48"/>
      <c r="C45" s="160">
        <v>33</v>
      </c>
      <c r="D45" s="291" t="str">
        <f>'EQUIP AND MAT'!D27</f>
        <v>98B</v>
      </c>
      <c r="E45" s="249" t="s">
        <v>154</v>
      </c>
      <c r="F45" s="264">
        <v>34.8</v>
      </c>
      <c r="G45" s="250"/>
      <c r="H45" s="264">
        <v>17.5</v>
      </c>
      <c r="I45" s="250"/>
      <c r="L45" s="160">
        <v>33</v>
      </c>
      <c r="M45" s="291" t="str">
        <f>'EQUIP AND MAT'!D27</f>
        <v>98B</v>
      </c>
      <c r="N45" s="250"/>
      <c r="O45" s="250"/>
      <c r="P45" s="250"/>
      <c r="Q45" s="250"/>
      <c r="R45" s="250"/>
    </row>
    <row r="46" spans="1:18" ht="15">
      <c r="A46" s="623"/>
      <c r="B46" s="48"/>
      <c r="C46" s="160">
        <v>34</v>
      </c>
      <c r="D46" s="291" t="str">
        <f>'EQUIP AND MAT'!D28</f>
        <v>105B</v>
      </c>
      <c r="E46" s="249" t="s">
        <v>154</v>
      </c>
      <c r="F46" s="264">
        <v>38</v>
      </c>
      <c r="G46" s="250"/>
      <c r="H46" s="264">
        <v>18</v>
      </c>
      <c r="I46" s="250"/>
      <c r="L46" s="160">
        <v>34</v>
      </c>
      <c r="M46" s="291" t="str">
        <f>'EQUIP AND MAT'!D28</f>
        <v>105B</v>
      </c>
      <c r="N46" s="250"/>
      <c r="O46" s="250"/>
      <c r="P46" s="250"/>
      <c r="Q46" s="250"/>
      <c r="R46" s="250"/>
    </row>
    <row r="47" spans="1:18" ht="15">
      <c r="A47" s="623"/>
      <c r="B47" s="48"/>
      <c r="C47" s="160">
        <v>35</v>
      </c>
      <c r="D47" s="291" t="str">
        <f>'EQUIP AND MAT'!D29</f>
        <v>115B</v>
      </c>
      <c r="E47" s="249" t="s">
        <v>154</v>
      </c>
      <c r="F47" s="264" t="s">
        <v>154</v>
      </c>
      <c r="G47" s="250"/>
      <c r="H47" s="264">
        <v>26.25</v>
      </c>
      <c r="I47" s="250"/>
      <c r="L47" s="160">
        <v>35</v>
      </c>
      <c r="M47" s="291" t="str">
        <f>'EQUIP AND MAT'!D29</f>
        <v>115B</v>
      </c>
      <c r="N47" s="250"/>
      <c r="O47" s="250"/>
      <c r="P47" s="250"/>
      <c r="Q47" s="250"/>
      <c r="R47" s="250"/>
    </row>
    <row r="48" spans="1:18" ht="15">
      <c r="A48" s="623"/>
      <c r="B48" s="48"/>
      <c r="C48" s="160">
        <v>36</v>
      </c>
      <c r="D48" s="292">
        <f>IF('EQUIP AND MAT'!D30="","",'EQUIP AND MAT'!D30)</f>
      </c>
      <c r="E48" s="256"/>
      <c r="F48" s="256"/>
      <c r="G48" s="265"/>
      <c r="H48" s="256"/>
      <c r="I48" s="265"/>
      <c r="L48" s="160">
        <v>36</v>
      </c>
      <c r="M48" s="294">
        <f>IF('EQUIP AND MAT'!D30="","",'EQUIP AND MAT'!D30)</f>
      </c>
      <c r="N48" s="260"/>
      <c r="O48" s="260"/>
      <c r="P48" s="260"/>
      <c r="Q48" s="260"/>
      <c r="R48" s="260"/>
    </row>
    <row r="49" spans="1:18" ht="12.75">
      <c r="A49" s="623"/>
      <c r="C49" s="161">
        <v>37</v>
      </c>
      <c r="D49" s="292">
        <f>IF('EQUIP AND MAT'!D31="","",'EQUIP AND MAT'!D31)</f>
      </c>
      <c r="E49" s="256"/>
      <c r="F49" s="256"/>
      <c r="G49" s="265"/>
      <c r="H49" s="256"/>
      <c r="I49" s="265"/>
      <c r="L49" s="161">
        <v>37</v>
      </c>
      <c r="M49" s="294">
        <f>IF('EQUIP AND MAT'!D31="","",'EQUIP AND MAT'!D31)</f>
      </c>
      <c r="N49" s="256"/>
      <c r="O49" s="256"/>
      <c r="P49" s="256"/>
      <c r="Q49" s="256"/>
      <c r="R49" s="256"/>
    </row>
    <row r="50" spans="1:18" ht="12.75">
      <c r="A50" s="623"/>
      <c r="C50" s="161">
        <v>38</v>
      </c>
      <c r="D50" s="292">
        <f>IF('EQUIP AND MAT'!D32="","",'EQUIP AND MAT'!D32)</f>
      </c>
      <c r="E50" s="256"/>
      <c r="F50" s="256"/>
      <c r="G50" s="265"/>
      <c r="H50" s="256"/>
      <c r="I50" s="265"/>
      <c r="L50" s="161">
        <v>38</v>
      </c>
      <c r="M50" s="294">
        <f>IF('EQUIP AND MAT'!D32="","",'EQUIP AND MAT'!D32)</f>
      </c>
      <c r="N50" s="256"/>
      <c r="O50" s="256"/>
      <c r="P50" s="256"/>
      <c r="Q50" s="256"/>
      <c r="R50" s="256"/>
    </row>
    <row r="51" spans="1:18" ht="12.75">
      <c r="A51" s="623"/>
      <c r="C51" s="161">
        <v>39</v>
      </c>
      <c r="D51" s="292">
        <f>IF('EQUIP AND MAT'!D33="","",'EQUIP AND MAT'!D33)</f>
      </c>
      <c r="E51" s="256"/>
      <c r="F51" s="256"/>
      <c r="G51" s="265"/>
      <c r="H51" s="256"/>
      <c r="I51" s="265"/>
      <c r="L51" s="161">
        <v>39</v>
      </c>
      <c r="M51" s="294">
        <f>IF('EQUIP AND MAT'!D33="","",'EQUIP AND MAT'!D33)</f>
      </c>
      <c r="N51" s="256"/>
      <c r="O51" s="256"/>
      <c r="P51" s="256"/>
      <c r="Q51" s="256"/>
      <c r="R51" s="256"/>
    </row>
    <row r="52" spans="1:18" ht="12.75">
      <c r="A52" s="623"/>
      <c r="C52" s="161">
        <v>40</v>
      </c>
      <c r="D52" s="292">
        <f>IF('EQUIP AND MAT'!D34="","",'EQUIP AND MAT'!D34)</f>
      </c>
      <c r="E52" s="256"/>
      <c r="F52" s="256"/>
      <c r="G52" s="265"/>
      <c r="H52" s="256"/>
      <c r="I52" s="265"/>
      <c r="L52" s="161">
        <v>40</v>
      </c>
      <c r="M52" s="294">
        <f>IF('EQUIP AND MAT'!D34="","",'EQUIP AND MAT'!D34)</f>
      </c>
      <c r="N52" s="256"/>
      <c r="O52" s="256"/>
      <c r="P52" s="256"/>
      <c r="Q52" s="256"/>
      <c r="R52" s="256"/>
    </row>
    <row r="53" spans="1:18" ht="12.75">
      <c r="A53" s="623"/>
      <c r="C53" s="161">
        <v>41</v>
      </c>
      <c r="D53" s="292">
        <f>IF('EQUIP AND MAT'!D35="","",'EQUIP AND MAT'!D35)</f>
      </c>
      <c r="E53" s="256"/>
      <c r="F53" s="256"/>
      <c r="G53" s="265"/>
      <c r="H53" s="256"/>
      <c r="I53" s="265"/>
      <c r="L53" s="161">
        <v>41</v>
      </c>
      <c r="M53" s="294">
        <f>IF('EQUIP AND MAT'!D35="","",'EQUIP AND MAT'!D35)</f>
      </c>
      <c r="N53" s="256"/>
      <c r="O53" s="256"/>
      <c r="P53" s="256"/>
      <c r="Q53" s="256"/>
      <c r="R53" s="256"/>
    </row>
    <row r="54" spans="1:18" ht="12.75">
      <c r="A54" s="624"/>
      <c r="C54" s="161">
        <v>42</v>
      </c>
      <c r="D54" s="292">
        <f>IF('EQUIP AND MAT'!D36="","",'EQUIP AND MAT'!D36)</f>
      </c>
      <c r="E54" s="256"/>
      <c r="F54" s="256"/>
      <c r="G54" s="265"/>
      <c r="H54" s="256"/>
      <c r="I54" s="265"/>
      <c r="L54" s="161">
        <v>42</v>
      </c>
      <c r="M54" s="294">
        <f>IF('EQUIP AND MAT'!D36="","",'EQUIP AND MAT'!D36)</f>
      </c>
      <c r="N54" s="256"/>
      <c r="O54" s="256"/>
      <c r="P54" s="256"/>
      <c r="Q54" s="256"/>
      <c r="R54" s="256"/>
    </row>
    <row r="55" spans="3:18" ht="12.75">
      <c r="C55" s="161">
        <v>43</v>
      </c>
      <c r="D55" s="292">
        <f>IF('EQUIP AND MAT'!D37="","",'EQUIP AND MAT'!D37)</f>
      </c>
      <c r="E55" s="256"/>
      <c r="F55" s="256"/>
      <c r="G55" s="265"/>
      <c r="H55" s="256"/>
      <c r="I55" s="265"/>
      <c r="L55" s="161">
        <v>43</v>
      </c>
      <c r="M55" s="294">
        <f>IF('EQUIP AND MAT'!D37="","",'EQUIP AND MAT'!D37)</f>
      </c>
      <c r="N55" s="256"/>
      <c r="O55" s="256"/>
      <c r="P55" s="256"/>
      <c r="Q55" s="256"/>
      <c r="R55" s="256"/>
    </row>
    <row r="56" spans="3:18" ht="12.75">
      <c r="C56" s="161">
        <v>44</v>
      </c>
      <c r="D56" s="292">
        <f>IF('EQUIP AND MAT'!D38="","",'EQUIP AND MAT'!D38)</f>
      </c>
      <c r="E56" s="256"/>
      <c r="F56" s="256"/>
      <c r="G56" s="265"/>
      <c r="H56" s="256"/>
      <c r="I56" s="265"/>
      <c r="L56" s="161">
        <v>44</v>
      </c>
      <c r="M56" s="294">
        <f>IF('EQUIP AND MAT'!D38="","",'EQUIP AND MAT'!D38)</f>
      </c>
      <c r="N56" s="256"/>
      <c r="O56" s="256"/>
      <c r="P56" s="256"/>
      <c r="Q56" s="256"/>
      <c r="R56" s="256"/>
    </row>
    <row r="57" spans="3:18" ht="12.75">
      <c r="C57" s="161">
        <v>45</v>
      </c>
      <c r="D57" s="292">
        <f>IF('EQUIP AND MAT'!D39="","",'EQUIP AND MAT'!D39)</f>
      </c>
      <c r="E57" s="256"/>
      <c r="F57" s="256"/>
      <c r="G57" s="265"/>
      <c r="H57" s="256"/>
      <c r="I57" s="265"/>
      <c r="L57" s="161">
        <v>45</v>
      </c>
      <c r="M57" s="294">
        <f>IF('EQUIP AND MAT'!D39="","",'EQUIP AND MAT'!D39)</f>
      </c>
      <c r="N57" s="256"/>
      <c r="O57" s="256"/>
      <c r="P57" s="256"/>
      <c r="Q57" s="256"/>
      <c r="R57" s="256"/>
    </row>
    <row r="58" spans="3:18" ht="12.75">
      <c r="C58" s="161">
        <v>46</v>
      </c>
      <c r="D58" s="292">
        <f>IF('EQUIP AND MAT'!D40="","",'EQUIP AND MAT'!D40)</f>
      </c>
      <c r="E58" s="256"/>
      <c r="F58" s="256"/>
      <c r="G58" s="265"/>
      <c r="H58" s="256"/>
      <c r="I58" s="265"/>
      <c r="L58" s="161">
        <v>46</v>
      </c>
      <c r="M58" s="294">
        <f>IF('EQUIP AND MAT'!D40="","",'EQUIP AND MAT'!D40)</f>
      </c>
      <c r="N58" s="256"/>
      <c r="O58" s="256"/>
      <c r="P58" s="256"/>
      <c r="Q58" s="256"/>
      <c r="R58" s="256"/>
    </row>
    <row r="59" spans="3:18" ht="12.75">
      <c r="C59" s="161">
        <v>47</v>
      </c>
      <c r="D59" s="292">
        <f>IF('EQUIP AND MAT'!D41="","",'EQUIP AND MAT'!D41)</f>
      </c>
      <c r="E59" s="256"/>
      <c r="F59" s="256"/>
      <c r="G59" s="266"/>
      <c r="H59" s="256"/>
      <c r="I59" s="266"/>
      <c r="L59" s="161">
        <v>47</v>
      </c>
      <c r="M59" s="294">
        <f>IF('EQUIP AND MAT'!D41="","",'EQUIP AND MAT'!D41)</f>
      </c>
      <c r="N59" s="256"/>
      <c r="O59" s="256"/>
      <c r="P59" s="256"/>
      <c r="Q59" s="256"/>
      <c r="R59" s="256"/>
    </row>
    <row r="60" spans="3:18" ht="12.75">
      <c r="C60" s="161">
        <v>48</v>
      </c>
      <c r="D60" s="292">
        <f>IF('EQUIP AND MAT'!D42="","",'EQUIP AND MAT'!D42)</f>
      </c>
      <c r="E60" s="256"/>
      <c r="F60" s="256"/>
      <c r="G60" s="256"/>
      <c r="H60" s="256"/>
      <c r="I60" s="256"/>
      <c r="L60" s="161">
        <v>48</v>
      </c>
      <c r="M60" s="294">
        <f>IF('EQUIP AND MAT'!D42="","",'EQUIP AND MAT'!D42)</f>
      </c>
      <c r="N60" s="256"/>
      <c r="O60" s="256"/>
      <c r="P60" s="256"/>
      <c r="Q60" s="256"/>
      <c r="R60" s="256"/>
    </row>
    <row r="61" spans="3:18" ht="12.75">
      <c r="C61" s="161">
        <v>49</v>
      </c>
      <c r="D61" s="292">
        <f>IF('EQUIP AND MAT'!D43="","",'EQUIP AND MAT'!D43)</f>
      </c>
      <c r="E61" s="256"/>
      <c r="F61" s="256"/>
      <c r="G61" s="256"/>
      <c r="H61" s="256"/>
      <c r="I61" s="256"/>
      <c r="L61" s="161">
        <v>49</v>
      </c>
      <c r="M61" s="294">
        <f>IF('EQUIP AND MAT'!D43="","",'EQUIP AND MAT'!D43)</f>
      </c>
      <c r="N61" s="256"/>
      <c r="O61" s="256"/>
      <c r="P61" s="256"/>
      <c r="Q61" s="256"/>
      <c r="R61" s="256"/>
    </row>
    <row r="62" spans="3:18" ht="13.5" thickBot="1">
      <c r="C62" s="161">
        <v>50</v>
      </c>
      <c r="D62" s="293">
        <f>IF('EQUIP AND MAT'!D44="","",'EQUIP AND MAT'!D44)</f>
      </c>
      <c r="E62" s="257"/>
      <c r="F62" s="257"/>
      <c r="G62" s="257"/>
      <c r="H62" s="257"/>
      <c r="I62" s="257"/>
      <c r="L62" s="161">
        <v>50</v>
      </c>
      <c r="M62" s="293">
        <f>IF('EQUIP AND MAT'!D44="","",'EQUIP AND MAT'!D44)</f>
      </c>
      <c r="N62" s="257"/>
      <c r="O62" s="257"/>
      <c r="P62" s="257"/>
      <c r="Q62" s="257"/>
      <c r="R62" s="257"/>
    </row>
    <row r="63" spans="3:12" ht="13.5" thickBot="1">
      <c r="C63" s="157"/>
      <c r="L63" s="157"/>
    </row>
    <row r="64" spans="3:18" ht="13.5" thickBot="1">
      <c r="C64" s="161">
        <v>51</v>
      </c>
      <c r="D64" s="295" t="s">
        <v>47</v>
      </c>
      <c r="E64" s="268">
        <v>1</v>
      </c>
      <c r="F64" s="268">
        <v>2</v>
      </c>
      <c r="G64" s="268">
        <v>3</v>
      </c>
      <c r="H64" s="268">
        <v>4</v>
      </c>
      <c r="I64" s="268">
        <v>5</v>
      </c>
      <c r="L64" s="161">
        <v>51</v>
      </c>
      <c r="M64" s="295" t="s">
        <v>47</v>
      </c>
      <c r="N64" s="268">
        <v>6</v>
      </c>
      <c r="O64" s="268">
        <v>7</v>
      </c>
      <c r="P64" s="268">
        <v>8</v>
      </c>
      <c r="Q64" s="268">
        <v>9</v>
      </c>
      <c r="R64" s="268">
        <v>99</v>
      </c>
    </row>
    <row r="67" spans="1:19" ht="13.5" thickBo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</row>
    <row r="68" ht="15.75" thickTop="1">
      <c r="A68" s="48"/>
    </row>
    <row r="69" ht="12.75">
      <c r="A69" s="625" t="s">
        <v>157</v>
      </c>
    </row>
    <row r="70" ht="12.75">
      <c r="A70" s="625"/>
    </row>
    <row r="71" ht="13.5" thickBot="1">
      <c r="A71" s="625"/>
    </row>
    <row r="72" spans="1:13" ht="18.75" thickBot="1">
      <c r="A72" s="625"/>
      <c r="D72" s="149" t="s">
        <v>196</v>
      </c>
      <c r="M72" s="149" t="s">
        <v>155</v>
      </c>
    </row>
    <row r="73" spans="1:18" ht="26.25" thickBot="1">
      <c r="A73" s="625"/>
      <c r="D73" s="152" t="s">
        <v>104</v>
      </c>
      <c r="E73" s="61" t="s">
        <v>105</v>
      </c>
      <c r="F73" s="61" t="s">
        <v>106</v>
      </c>
      <c r="G73" s="61" t="s">
        <v>161</v>
      </c>
      <c r="H73" s="61" t="s">
        <v>107</v>
      </c>
      <c r="I73" s="61" t="s">
        <v>160</v>
      </c>
      <c r="M73" s="152" t="s">
        <v>104</v>
      </c>
      <c r="N73" s="61" t="s">
        <v>105</v>
      </c>
      <c r="O73" s="61" t="s">
        <v>106</v>
      </c>
      <c r="P73" s="61" t="s">
        <v>161</v>
      </c>
      <c r="Q73" s="61" t="s">
        <v>107</v>
      </c>
      <c r="R73" s="61" t="s">
        <v>160</v>
      </c>
    </row>
    <row r="74" spans="1:18" ht="12.75">
      <c r="A74" s="625"/>
      <c r="C74" s="158">
        <v>1</v>
      </c>
      <c r="D74" s="296" t="str">
        <f>'EQUIP AND MAT'!C4</f>
        <v>HVC</v>
      </c>
      <c r="E74" s="269"/>
      <c r="F74" s="269"/>
      <c r="G74" s="270"/>
      <c r="H74" s="269"/>
      <c r="I74" s="271"/>
      <c r="L74" s="160">
        <v>1</v>
      </c>
      <c r="M74" s="297" t="str">
        <f>'EQUIP AND MAT'!C4</f>
        <v>HVC</v>
      </c>
      <c r="N74" s="267"/>
      <c r="O74" s="267"/>
      <c r="P74" s="280"/>
      <c r="Q74" s="267"/>
      <c r="R74" s="281"/>
    </row>
    <row r="75" spans="1:18" ht="12.75">
      <c r="A75" s="625"/>
      <c r="C75" s="158">
        <v>2</v>
      </c>
      <c r="D75" s="296" t="str">
        <f>'EQUIP AND MAT'!C5</f>
        <v>HVF</v>
      </c>
      <c r="E75" s="272"/>
      <c r="F75" s="272"/>
      <c r="G75" s="273"/>
      <c r="H75" s="272"/>
      <c r="I75" s="274"/>
      <c r="L75" s="160">
        <v>2</v>
      </c>
      <c r="M75" s="297" t="str">
        <f>'EQUIP AND MAT'!C5</f>
        <v>HVF</v>
      </c>
      <c r="N75" s="252"/>
      <c r="O75" s="252"/>
      <c r="P75" s="282"/>
      <c r="Q75" s="252"/>
      <c r="R75" s="283"/>
    </row>
    <row r="76" spans="1:18" ht="12.75">
      <c r="A76" s="625"/>
      <c r="C76" s="158">
        <v>3</v>
      </c>
      <c r="D76" s="296" t="str">
        <f>'EQUIP AND MAT'!C6</f>
        <v>HVS</v>
      </c>
      <c r="E76" s="272"/>
      <c r="F76" s="272"/>
      <c r="G76" s="273"/>
      <c r="H76" s="272"/>
      <c r="I76" s="274"/>
      <c r="L76" s="160">
        <v>3</v>
      </c>
      <c r="M76" s="297" t="str">
        <f>'EQUIP AND MAT'!C6</f>
        <v>HVS</v>
      </c>
      <c r="N76" s="252"/>
      <c r="O76" s="252"/>
      <c r="P76" s="282"/>
      <c r="Q76" s="252"/>
      <c r="R76" s="283"/>
    </row>
    <row r="77" spans="1:18" ht="12.75">
      <c r="A77" s="625"/>
      <c r="C77" s="158">
        <v>4</v>
      </c>
      <c r="D77" s="296" t="str">
        <f>'EQUIP AND MAT'!C7</f>
        <v>TM</v>
      </c>
      <c r="E77" s="272"/>
      <c r="F77" s="272"/>
      <c r="G77" s="273"/>
      <c r="H77" s="272"/>
      <c r="I77" s="274"/>
      <c r="L77" s="160">
        <v>4</v>
      </c>
      <c r="M77" s="297" t="str">
        <f>'EQUIP AND MAT'!C7</f>
        <v>TM</v>
      </c>
      <c r="N77" s="252"/>
      <c r="O77" s="252"/>
      <c r="P77" s="282"/>
      <c r="Q77" s="252"/>
      <c r="R77" s="283"/>
    </row>
    <row r="78" spans="1:18" ht="12.75">
      <c r="A78" s="625"/>
      <c r="C78" s="158">
        <v>5</v>
      </c>
      <c r="D78" s="296" t="str">
        <f>'EQUIP AND MAT'!C8</f>
        <v>TMS</v>
      </c>
      <c r="E78" s="272"/>
      <c r="F78" s="272"/>
      <c r="G78" s="273"/>
      <c r="H78" s="272"/>
      <c r="I78" s="274"/>
      <c r="L78" s="160">
        <v>5</v>
      </c>
      <c r="M78" s="297" t="str">
        <f>'EQUIP AND MAT'!C8</f>
        <v>TMS</v>
      </c>
      <c r="N78" s="252"/>
      <c r="O78" s="252"/>
      <c r="P78" s="282"/>
      <c r="Q78" s="252"/>
      <c r="R78" s="283"/>
    </row>
    <row r="79" spans="1:18" ht="12.75">
      <c r="A79" s="625"/>
      <c r="C79" s="158">
        <v>6</v>
      </c>
      <c r="D79" s="296" t="str">
        <f>'EQUIP AND MAT'!C9</f>
        <v>TMR</v>
      </c>
      <c r="E79" s="272"/>
      <c r="F79" s="272"/>
      <c r="G79" s="273"/>
      <c r="H79" s="272"/>
      <c r="I79" s="274"/>
      <c r="L79" s="160">
        <v>6</v>
      </c>
      <c r="M79" s="297" t="str">
        <f>'EQUIP AND MAT'!C9</f>
        <v>TMR</v>
      </c>
      <c r="N79" s="252"/>
      <c r="O79" s="252"/>
      <c r="P79" s="282"/>
      <c r="Q79" s="252"/>
      <c r="R79" s="283"/>
    </row>
    <row r="80" spans="1:18" ht="12.75">
      <c r="A80" s="625"/>
      <c r="C80" s="158">
        <v>7</v>
      </c>
      <c r="D80" s="296" t="str">
        <f>'EQUIP AND MAT'!C10</f>
        <v>ULTRA FORCE</v>
      </c>
      <c r="E80" s="272"/>
      <c r="F80" s="272"/>
      <c r="G80" s="273"/>
      <c r="H80" s="272"/>
      <c r="I80" s="274"/>
      <c r="L80" s="160">
        <v>7</v>
      </c>
      <c r="M80" s="297" t="str">
        <f>'EQUIP AND MAT'!C10</f>
        <v>ULTRA FORCE</v>
      </c>
      <c r="N80" s="252"/>
      <c r="O80" s="252"/>
      <c r="P80" s="282"/>
      <c r="Q80" s="252"/>
      <c r="R80" s="283"/>
    </row>
    <row r="81" spans="1:18" ht="12.75">
      <c r="A81" s="625"/>
      <c r="C81" s="158">
        <v>8</v>
      </c>
      <c r="D81" s="296" t="str">
        <f>'EQUIP AND MAT'!C11</f>
        <v>BRUTE FORCE</v>
      </c>
      <c r="E81" s="272"/>
      <c r="F81" s="272"/>
      <c r="G81" s="273"/>
      <c r="H81" s="272"/>
      <c r="I81" s="274"/>
      <c r="L81" s="160">
        <v>8</v>
      </c>
      <c r="M81" s="297" t="str">
        <f>'EQUIP AND MAT'!C11</f>
        <v>BRUTE FORCE</v>
      </c>
      <c r="N81" s="252"/>
      <c r="O81" s="252"/>
      <c r="P81" s="282"/>
      <c r="Q81" s="252"/>
      <c r="R81" s="283"/>
    </row>
    <row r="82" spans="1:18" ht="12.75">
      <c r="A82" s="625"/>
      <c r="C82" s="158">
        <v>9</v>
      </c>
      <c r="D82" s="296" t="str">
        <f>'EQUIP AND MAT'!C12</f>
        <v>SM</v>
      </c>
      <c r="E82" s="275"/>
      <c r="F82" s="275"/>
      <c r="G82" s="276"/>
      <c r="H82" s="275"/>
      <c r="I82" s="277"/>
      <c r="L82" s="160">
        <v>9</v>
      </c>
      <c r="M82" s="297" t="str">
        <f>'EQUIP AND MAT'!C12</f>
        <v>SM</v>
      </c>
      <c r="N82" s="252"/>
      <c r="O82" s="252"/>
      <c r="P82" s="282"/>
      <c r="Q82" s="252"/>
      <c r="R82" s="283"/>
    </row>
    <row r="83" spans="1:18" ht="15">
      <c r="A83" s="625"/>
      <c r="B83" s="48"/>
      <c r="C83" s="160">
        <v>10</v>
      </c>
      <c r="D83" s="288">
        <f>IF('EQUIP AND MAT'!C13="","",'EQUIP AND MAT'!C13)</f>
      </c>
      <c r="E83" s="278"/>
      <c r="F83" s="278"/>
      <c r="G83" s="278"/>
      <c r="H83" s="278"/>
      <c r="I83" s="278"/>
      <c r="L83" s="161">
        <v>10</v>
      </c>
      <c r="M83" s="298">
        <f>IF('EQUIP AND MAT'!C13="","",'EQUIP AND MAT'!C13)</f>
      </c>
      <c r="N83" s="260"/>
      <c r="O83" s="260"/>
      <c r="P83" s="260"/>
      <c r="Q83" s="260"/>
      <c r="R83" s="260"/>
    </row>
    <row r="84" spans="1:18" ht="15.75" thickBot="1">
      <c r="A84" s="625"/>
      <c r="B84" s="48"/>
      <c r="C84" s="160">
        <v>11</v>
      </c>
      <c r="D84" s="289">
        <f>IF('EQUIP AND MAT'!C14="","",'EQUIP AND MAT'!C14)</f>
      </c>
      <c r="E84" s="279"/>
      <c r="F84" s="279"/>
      <c r="G84" s="279"/>
      <c r="H84" s="279"/>
      <c r="I84" s="279"/>
      <c r="L84" s="161">
        <v>11</v>
      </c>
      <c r="M84" s="289">
        <f>IF('EQUIP AND MAT'!C14="","",'EQUIP AND MAT'!C14)</f>
      </c>
      <c r="N84" s="257"/>
      <c r="O84" s="257"/>
      <c r="P84" s="257"/>
      <c r="Q84" s="257"/>
      <c r="R84" s="257"/>
    </row>
    <row r="85" spans="1:6" ht="15">
      <c r="A85" s="625"/>
      <c r="B85" s="48"/>
      <c r="C85" s="48"/>
      <c r="D85" s="48"/>
      <c r="E85" s="48"/>
      <c r="F85" s="48"/>
    </row>
    <row r="86" spans="1:12" ht="15">
      <c r="A86" s="625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39"/>
    </row>
    <row r="87" spans="1:12" ht="15">
      <c r="A87" s="625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39"/>
    </row>
    <row r="88" spans="1:6" ht="15">
      <c r="A88" s="625"/>
      <c r="B88" s="48"/>
      <c r="C88" s="48"/>
      <c r="D88" s="48"/>
      <c r="E88" s="48"/>
      <c r="F88" s="48"/>
    </row>
    <row r="89" spans="5:13" ht="15">
      <c r="E89" s="48"/>
      <c r="F89" s="48"/>
      <c r="G89" s="48"/>
      <c r="H89" s="48"/>
      <c r="I89" s="48"/>
      <c r="J89" s="48"/>
      <c r="K89" s="48"/>
      <c r="L89" s="48"/>
      <c r="M89" s="48"/>
    </row>
    <row r="90" spans="5:13" ht="15">
      <c r="E90" s="48"/>
      <c r="F90" s="48"/>
      <c r="G90" s="48"/>
      <c r="H90" s="48"/>
      <c r="I90" s="48"/>
      <c r="J90" s="48"/>
      <c r="K90" s="48"/>
      <c r="L90" s="48"/>
      <c r="M90" s="48"/>
    </row>
  </sheetData>
  <sheetProtection password="C18A" sheet="1" objects="1" scenarios="1" selectLockedCells="1"/>
  <mergeCells count="4">
    <mergeCell ref="A18:A54"/>
    <mergeCell ref="A69:A88"/>
    <mergeCell ref="K4:P4"/>
    <mergeCell ref="K5:P5"/>
  </mergeCells>
  <printOptions/>
  <pageMargins left="0.75" right="0.75" top="1" bottom="1" header="0.5" footer="0.5"/>
  <pageSetup fitToHeight="1" fitToWidth="1" horizontalDpi="600" verticalDpi="600" orientation="portrait" paperSize="3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17"/>
  <sheetViews>
    <sheetView showGridLines="0" zoomScale="85" zoomScaleNormal="85" zoomScalePageLayoutView="0" workbookViewId="0" topLeftCell="A1">
      <selection activeCell="C15" sqref="C15"/>
    </sheetView>
  </sheetViews>
  <sheetFormatPr defaultColWidth="8.8515625" defaultRowHeight="12.75"/>
  <cols>
    <col min="1" max="1" width="21.00390625" style="178" customWidth="1"/>
    <col min="2" max="2" width="7.57421875" style="178" customWidth="1"/>
    <col min="3" max="3" width="12.57421875" style="178" customWidth="1"/>
    <col min="4" max="4" width="48.7109375" style="178" customWidth="1"/>
    <col min="5" max="5" width="16.8515625" style="178" customWidth="1"/>
    <col min="6" max="6" width="17.8515625" style="178" customWidth="1"/>
    <col min="7" max="7" width="21.00390625" style="178" customWidth="1"/>
    <col min="8" max="8" width="7.7109375" style="178" customWidth="1"/>
    <col min="9" max="9" width="13.57421875" style="178" customWidth="1"/>
    <col min="10" max="10" width="49.00390625" style="178" customWidth="1"/>
    <col min="11" max="11" width="15.28125" style="178" customWidth="1"/>
    <col min="12" max="12" width="17.8515625" style="178" customWidth="1"/>
    <col min="13" max="13" width="20.7109375" style="178" customWidth="1"/>
    <col min="14" max="14" width="7.8515625" style="178" customWidth="1"/>
    <col min="15" max="15" width="13.28125" style="178" customWidth="1"/>
    <col min="16" max="16" width="49.140625" style="178" customWidth="1"/>
    <col min="17" max="17" width="15.7109375" style="178" customWidth="1"/>
    <col min="18" max="18" width="17.7109375" style="178" customWidth="1"/>
    <col min="19" max="19" width="21.421875" style="178" customWidth="1"/>
    <col min="20" max="20" width="13.421875" style="178" customWidth="1"/>
    <col min="21" max="21" width="49.28125" style="178" customWidth="1"/>
    <col min="22" max="22" width="15.7109375" style="178" customWidth="1"/>
    <col min="23" max="23" width="12.28125" style="178" customWidth="1"/>
    <col min="24" max="24" width="12.57421875" style="178" customWidth="1"/>
    <col min="25" max="25" width="11.28125" style="178" customWidth="1"/>
    <col min="26" max="26" width="3.7109375" style="178" customWidth="1"/>
    <col min="27" max="27" width="7.140625" style="178" customWidth="1"/>
    <col min="28" max="28" width="3.28125" style="178" customWidth="1"/>
    <col min="29" max="30" width="12.7109375" style="178" customWidth="1"/>
    <col min="31" max="31" width="13.7109375" style="178" customWidth="1"/>
    <col min="32" max="32" width="12.7109375" style="178" customWidth="1"/>
    <col min="33" max="33" width="12.00390625" style="178" customWidth="1"/>
    <col min="34" max="34" width="11.140625" style="178" customWidth="1"/>
    <col min="35" max="35" width="14.7109375" style="178" customWidth="1"/>
    <col min="36" max="36" width="15.28125" style="178" customWidth="1"/>
    <col min="37" max="38" width="16.28125" style="178" customWidth="1"/>
    <col min="39" max="39" width="13.8515625" style="178" customWidth="1"/>
    <col min="40" max="16384" width="8.8515625" style="178" customWidth="1"/>
  </cols>
  <sheetData>
    <row r="1" spans="1:22" ht="21.75" customHeight="1">
      <c r="A1" s="626" t="s">
        <v>276</v>
      </c>
      <c r="B1" s="627"/>
      <c r="C1" s="627"/>
      <c r="D1" s="627"/>
      <c r="E1" s="133"/>
      <c r="F1" s="133"/>
      <c r="G1" s="177"/>
      <c r="H1" s="177"/>
      <c r="I1" s="133"/>
      <c r="J1" s="133"/>
      <c r="K1" s="133"/>
      <c r="L1" s="133"/>
      <c r="M1" s="177"/>
      <c r="N1" s="177"/>
      <c r="O1" s="133"/>
      <c r="P1" s="133"/>
      <c r="Q1" s="133"/>
      <c r="S1" s="177"/>
      <c r="T1" s="133"/>
      <c r="U1" s="133"/>
      <c r="V1" s="133"/>
    </row>
    <row r="2" spans="1:22" ht="19.5" customHeight="1">
      <c r="A2" s="628" t="s">
        <v>236</v>
      </c>
      <c r="B2" s="629"/>
      <c r="C2" s="629"/>
      <c r="D2" s="629"/>
      <c r="E2" s="629"/>
      <c r="F2" s="629"/>
      <c r="G2" s="395"/>
      <c r="H2" s="177"/>
      <c r="I2" s="133"/>
      <c r="J2" s="133"/>
      <c r="K2" s="133"/>
      <c r="L2" s="133"/>
      <c r="M2" s="177"/>
      <c r="N2" s="177"/>
      <c r="O2" s="133"/>
      <c r="P2" s="133"/>
      <c r="Q2" s="133"/>
      <c r="S2" s="179"/>
      <c r="T2" s="180"/>
      <c r="U2" s="180"/>
      <c r="V2" s="180"/>
    </row>
    <row r="3" spans="3:22" ht="18" customHeight="1" thickBot="1">
      <c r="C3" s="133"/>
      <c r="D3" s="133"/>
      <c r="E3" s="181"/>
      <c r="F3" s="133"/>
      <c r="I3" s="133"/>
      <c r="J3" s="133"/>
      <c r="K3" s="181"/>
      <c r="L3" s="133"/>
      <c r="O3" s="133"/>
      <c r="P3" s="133"/>
      <c r="Q3" s="181"/>
      <c r="S3" s="182"/>
      <c r="T3" s="180"/>
      <c r="U3" s="180"/>
      <c r="V3" s="180"/>
    </row>
    <row r="4" spans="1:22" ht="14.25" customHeight="1">
      <c r="A4" s="183"/>
      <c r="B4" s="183"/>
      <c r="C4" s="184"/>
      <c r="D4" s="184"/>
      <c r="E4" s="133"/>
      <c r="F4" s="133"/>
      <c r="G4" s="183"/>
      <c r="H4" s="183"/>
      <c r="I4" s="184"/>
      <c r="J4" s="184"/>
      <c r="K4" s="133"/>
      <c r="L4" s="133"/>
      <c r="M4" s="183"/>
      <c r="N4" s="183"/>
      <c r="O4" s="184"/>
      <c r="P4" s="184"/>
      <c r="Q4" s="133"/>
      <c r="S4" s="182"/>
      <c r="T4" s="180"/>
      <c r="U4" s="180"/>
      <c r="V4" s="180"/>
    </row>
    <row r="5" spans="1:22" ht="15.75">
      <c r="A5" s="137" t="s">
        <v>109</v>
      </c>
      <c r="B5" s="137"/>
      <c r="C5" s="137" t="s">
        <v>110</v>
      </c>
      <c r="D5" s="137" t="s">
        <v>217</v>
      </c>
      <c r="E5" s="137" t="s">
        <v>193</v>
      </c>
      <c r="F5" s="137"/>
      <c r="G5" s="137" t="s">
        <v>109</v>
      </c>
      <c r="H5" s="137"/>
      <c r="I5" s="137" t="s">
        <v>110</v>
      </c>
      <c r="J5" s="137" t="s">
        <v>111</v>
      </c>
      <c r="K5" s="137" t="s">
        <v>193</v>
      </c>
      <c r="L5" s="137"/>
      <c r="M5" s="137" t="s">
        <v>109</v>
      </c>
      <c r="N5" s="137"/>
      <c r="O5" s="137" t="s">
        <v>110</v>
      </c>
      <c r="P5" s="137" t="s">
        <v>111</v>
      </c>
      <c r="Q5" s="137" t="s">
        <v>193</v>
      </c>
      <c r="S5" s="185"/>
      <c r="T5" s="185"/>
      <c r="U5" s="185"/>
      <c r="V5" s="185"/>
    </row>
    <row r="6" spans="1:22" ht="15.75">
      <c r="A6" s="56"/>
      <c r="B6" s="56"/>
      <c r="C6" s="137"/>
      <c r="D6" s="137"/>
      <c r="E6" s="186"/>
      <c r="F6" s="186"/>
      <c r="G6" s="56"/>
      <c r="H6" s="56"/>
      <c r="I6" s="137"/>
      <c r="J6" s="137"/>
      <c r="K6" s="186"/>
      <c r="L6" s="186"/>
      <c r="M6" s="56"/>
      <c r="N6" s="56"/>
      <c r="O6" s="137"/>
      <c r="P6" s="137"/>
      <c r="Q6" s="186"/>
      <c r="S6" s="187"/>
      <c r="T6" s="185"/>
      <c r="U6" s="185"/>
      <c r="V6" s="188"/>
    </row>
    <row r="7" spans="1:22" ht="15.75" thickBot="1">
      <c r="A7" s="189"/>
      <c r="B7" s="189"/>
      <c r="C7" s="181"/>
      <c r="D7" s="181"/>
      <c r="E7" s="181"/>
      <c r="F7" s="133"/>
      <c r="G7" s="189"/>
      <c r="H7" s="189"/>
      <c r="I7" s="181"/>
      <c r="J7" s="181"/>
      <c r="K7" s="181"/>
      <c r="L7" s="133"/>
      <c r="M7" s="189"/>
      <c r="N7" s="189"/>
      <c r="O7" s="181"/>
      <c r="P7" s="181"/>
      <c r="Q7" s="181"/>
      <c r="S7" s="190"/>
      <c r="T7" s="180"/>
      <c r="U7" s="180"/>
      <c r="V7" s="180"/>
    </row>
    <row r="8" spans="1:22" ht="15">
      <c r="A8" s="135"/>
      <c r="B8" s="135"/>
      <c r="C8" s="184"/>
      <c r="D8" s="184"/>
      <c r="E8" s="133"/>
      <c r="F8" s="133"/>
      <c r="G8" s="191"/>
      <c r="H8" s="191"/>
      <c r="I8" s="184"/>
      <c r="J8" s="184"/>
      <c r="K8" s="133"/>
      <c r="L8" s="133"/>
      <c r="M8" s="191"/>
      <c r="N8" s="191"/>
      <c r="O8" s="184"/>
      <c r="P8" s="184"/>
      <c r="Q8" s="133"/>
      <c r="S8" s="190"/>
      <c r="T8" s="180"/>
      <c r="U8" s="180"/>
      <c r="V8" s="180"/>
    </row>
    <row r="9" spans="1:22" ht="15.75">
      <c r="A9" s="248" t="s">
        <v>165</v>
      </c>
      <c r="B9" s="192"/>
      <c r="C9" s="133"/>
      <c r="D9" s="133"/>
      <c r="E9" s="133"/>
      <c r="F9" s="133"/>
      <c r="G9" s="248" t="s">
        <v>204</v>
      </c>
      <c r="H9" s="192"/>
      <c r="I9" s="133"/>
      <c r="J9" s="133"/>
      <c r="K9" s="133"/>
      <c r="L9" s="133"/>
      <c r="M9" s="248" t="s">
        <v>205</v>
      </c>
      <c r="N9" s="192"/>
      <c r="O9" s="133"/>
      <c r="P9" s="133"/>
      <c r="Q9" s="133"/>
      <c r="S9" s="193"/>
      <c r="T9" s="180"/>
      <c r="U9" s="180"/>
      <c r="V9" s="180"/>
    </row>
    <row r="10" spans="1:22" ht="15.75" thickBot="1">
      <c r="A10" s="189"/>
      <c r="B10" s="135"/>
      <c r="C10" s="133"/>
      <c r="D10" s="133"/>
      <c r="E10" s="133"/>
      <c r="F10" s="133"/>
      <c r="G10" s="135"/>
      <c r="H10" s="135"/>
      <c r="I10" s="133"/>
      <c r="J10" s="133"/>
      <c r="K10" s="133"/>
      <c r="L10" s="133"/>
      <c r="M10" s="189"/>
      <c r="N10" s="135"/>
      <c r="O10" s="133"/>
      <c r="P10" s="133"/>
      <c r="Q10" s="133"/>
      <c r="S10" s="190"/>
      <c r="T10" s="180"/>
      <c r="U10" s="180"/>
      <c r="V10" s="180"/>
    </row>
    <row r="11" spans="1:22" ht="16.5" thickBot="1">
      <c r="A11" s="194" t="s">
        <v>212</v>
      </c>
      <c r="B11" s="195"/>
      <c r="C11" s="133"/>
      <c r="D11" s="133"/>
      <c r="E11" s="133"/>
      <c r="F11" s="133"/>
      <c r="G11" s="194" t="s">
        <v>212</v>
      </c>
      <c r="H11" s="196"/>
      <c r="I11" s="181"/>
      <c r="J11" s="133"/>
      <c r="K11" s="133"/>
      <c r="L11" s="133"/>
      <c r="M11" s="194" t="s">
        <v>212</v>
      </c>
      <c r="N11" s="196"/>
      <c r="O11" s="181"/>
      <c r="P11" s="133"/>
      <c r="Q11" s="133"/>
      <c r="S11" s="190"/>
      <c r="T11" s="180"/>
      <c r="U11" s="180"/>
      <c r="V11" s="180"/>
    </row>
    <row r="12" spans="1:22" ht="15">
      <c r="A12" s="174">
        <f>IF('VIB SPEC SHEET'!$K$85="NEMA 12",IF(AND(C12&gt;'VIB SPEC SHEET'!$AL$85,AND(B12&lt;=$B$12,B12&lt;=$B$13,B12&lt;=$B$14,B12&lt;=$B$15,B12&lt;=$B$16,B12&lt;=$B$17,B12&lt;=$B$18,B12&lt;=$B$19,B12&lt;=$B$20,B12&lt;=$B$21,B12&lt;=$B$22,B12&lt;=$B$23,B12&lt;=$B$24,B12&lt;=$B$25,B12&lt;=$B$26,B12&lt;=$B$27,B12&lt;=$B$28,B12&lt;=$B$29,B12&lt;=$B$30,B12&lt;=$B$31,B12&lt;=$B$32,B12&lt;=$B$33,B12&lt;=$B$34,B12&lt;=$B$35,B12&lt;=$B$36,B12&lt;=$B$37,B12&lt;=$B$38,B12&lt;=$B$39,B12&lt;=$B$40,B12&lt;=$B$41)),CONCATENATE(D12,"&amp;"),""),"")</f>
      </c>
      <c r="B12" s="174" t="e">
        <f>IF((C12-'VIB SPEC SHEET'!$AL$85)&gt;0,C12-'VIB SPEC SHEET'!$AL$85,10^10)</f>
        <v>#VALUE!</v>
      </c>
      <c r="C12" s="237">
        <v>2</v>
      </c>
      <c r="D12" s="238" t="s">
        <v>218</v>
      </c>
      <c r="E12" s="239" t="s">
        <v>162</v>
      </c>
      <c r="F12" s="197"/>
      <c r="G12" s="174">
        <f>IF('VIB SPEC SHEET'!$K$85="NEMA 4",IF(AND(I12&gt;'VIB SPEC SHEET'!$AL$85,AND(H12&lt;=$H$12,H12&lt;=$H$13,H12&lt;=$H$14,H12&lt;=$H$15,H12&lt;=$H$16,H12&lt;=$H$17,H12&lt;=$H$18,H12&lt;=$H$19,H12&lt;=$H$20,H12&lt;=$H$21,H12&lt;=$H$22,H12&lt;=$H$23,H12&lt;=$H$24,H12&lt;=$H$25,H12&lt;=$H$26,H12&lt;=$H$27,H12&lt;=$H$28,H12&lt;=$H$29,H12&lt;=$H$30,H12&lt;=$H$31,H12&lt;=$H$32,H12&lt;=$H$33,H12&lt;=$H$34,H12&lt;=$H$35,H12&lt;=$H$36,H12&lt;=$H$37,H12&lt;=$H$38,H12&lt;=$H$39,H12&lt;=$H$40,H12&lt;=$H$41)),CONCATENATE(J12,"&amp;"),""),"")</f>
      </c>
      <c r="H12" s="174" t="e">
        <f>IF((I12-'VIB SPEC SHEET'!$AL$85)&gt;0,I12-'VIB SPEC SHEET'!$AL$85,10^10)</f>
        <v>#VALUE!</v>
      </c>
      <c r="I12" s="237"/>
      <c r="J12" s="238"/>
      <c r="K12" s="239"/>
      <c r="L12" s="197"/>
      <c r="M12" s="174">
        <f>IF('VIB SPEC SHEET'!$K$85="NEMA 4X SS",IF(AND(O12&gt;'VIB SPEC SHEET'!$AL$85,AND(N12&lt;=$N$12,N12&lt;=$N$13,N12&lt;=$N$14,N12&lt;=$N$15,N12&lt;=$N$16,N12&lt;=$N$17,N12&lt;=$N$18,N12&lt;=$N$19,N12&lt;=$N$20,N12&lt;=$N$21,N12&lt;=$N$22,N12&lt;=$N$23,N12&lt;=$N$24,N12&lt;=$N$25,N12&lt;=$N$26,N12&lt;=$N$27,N12&lt;=$N$28,N12&lt;=$N$29,N12&lt;=$N$30,N12&lt;=$N$31,N12&lt;=$N$32,N12&lt;=$N$33,N12&lt;=$N$34,N12&lt;=$N$35,N12&lt;=$N$36,N12&lt;=$N$37,N12&lt;=$N$38,N12&lt;=$N$39,N12&lt;=$N$40,N12&lt;=$N$41)),CONCATENATE(P12,"&amp;"),""),"")</f>
      </c>
      <c r="N12" s="174" t="e">
        <f>IF((O12-'VIB SPEC SHEET'!$AL$85)&gt;0,O12-'VIB SPEC SHEET'!$AL$85,10^10)</f>
        <v>#VALUE!</v>
      </c>
      <c r="O12" s="237"/>
      <c r="P12" s="238"/>
      <c r="Q12" s="239"/>
      <c r="S12" s="180"/>
      <c r="T12" s="180"/>
      <c r="U12" s="190"/>
      <c r="V12" s="198"/>
    </row>
    <row r="13" spans="1:22" ht="15">
      <c r="A13" s="174">
        <f>IF('VIB SPEC SHEET'!$K$85="NEMA 12",IF(AND(C13&gt;'VIB SPEC SHEET'!$AL$85,AND(B13&lt;=$B$12,B13&lt;=$B$13,B13&lt;=$B$14,B13&lt;=$B$15,B13&lt;=$B$16,B13&lt;=$B$17,B13&lt;=$B$18,B13&lt;=$B$19,B13&lt;=$B$20,B13&lt;=$B$21,B13&lt;=$B$22,B13&lt;=$B$23,B13&lt;=$B$24,B13&lt;=$B$25,B13&lt;=$B$26,B13&lt;=$B$27,B13&lt;=$B$28,B13&lt;=$B$29,B13&lt;=$B$30,B13&lt;=$B$31,B13&lt;=$B$32,B13&lt;=$B$33,B13&lt;=$B$34,B13&lt;=$B$35,B13&lt;=$B$36,B13&lt;=$B$37,B13&lt;=$B$38,B13&lt;=$B$39,B13&lt;=$B$40,B13&lt;=$B$41)),CONCATENATE(D13,"&amp;"),""),"")</f>
      </c>
      <c r="B13" s="174" t="e">
        <f>IF((C13-'VIB SPEC SHEET'!$AL$85)&gt;0,C13-'VIB SPEC SHEET'!$AL$85,10^10)</f>
        <v>#VALUE!</v>
      </c>
      <c r="C13" s="231">
        <v>2</v>
      </c>
      <c r="D13" s="232" t="s">
        <v>219</v>
      </c>
      <c r="E13" s="233">
        <v>44559808</v>
      </c>
      <c r="F13" s="197"/>
      <c r="G13" s="174">
        <f>IF('VIB SPEC SHEET'!$K$85="NEMA 4",IF(AND(I13&gt;'VIB SPEC SHEET'!$AL$85,AND(H13&lt;=$H$12,H13&lt;=$H$13,H13&lt;=$H$14,H13&lt;=$H$15,H13&lt;=$H$16,H13&lt;=$H$17,H13&lt;=$H$18,H13&lt;=$H$19,H13&lt;=$H$20,H13&lt;=$H$21,H13&lt;=$H$22,H13&lt;=$H$23,H13&lt;=$H$24,H13&lt;=$H$25,H13&lt;=$H$26,H13&lt;=$H$27,H13&lt;=$H$28,H13&lt;=$H$29,H13&lt;=$H$30,H13&lt;=$H$31,H13&lt;=$H$32,H13&lt;=$H$33,H13&lt;=$H$34,H13&lt;=$H$35,H13&lt;=$H$36,H13&lt;=$H$37,H13&lt;=$H$38,H13&lt;=$H$39,H13&lt;=$H$40,H13&lt;=$H$41)),CONCATENATE(J13,"&amp;"),""),"")</f>
      </c>
      <c r="H13" s="174" t="e">
        <f>IF((I13-'VIB SPEC SHEET'!$AL$85)&gt;0,I13-'VIB SPEC SHEET'!$AL$85,10^10)</f>
        <v>#VALUE!</v>
      </c>
      <c r="I13" s="231"/>
      <c r="J13" s="232"/>
      <c r="K13" s="233"/>
      <c r="L13" s="197"/>
      <c r="M13" s="174">
        <f>IF('VIB SPEC SHEET'!$K$85="NEMA 4X SS",IF(AND(O13&gt;'VIB SPEC SHEET'!$AL$85,AND(N13&lt;=$N$12,N13&lt;=$N$13,N13&lt;=$N$14,N13&lt;=$N$15,N13&lt;=$N$16,N13&lt;=$N$17,N13&lt;=$N$18,N13&lt;=$N$19,N13&lt;=$N$20,N13&lt;=$N$21,N13&lt;=$N$22,N13&lt;=$N$23,N13&lt;=$N$24,N13&lt;=$N$25,N13&lt;=$N$26,N13&lt;=$N$27,N13&lt;=$N$28,N13&lt;=$N$29,N13&lt;=$N$30,N13&lt;=$N$31,N13&lt;=$N$32,N13&lt;=$N$33,N13&lt;=$N$34,N13&lt;=$N$35,N13&lt;=$N$36,N13&lt;=$N$37,N13&lt;=$N$38,N13&lt;=$N$39,N13&lt;=$N$40,N13&lt;=$N$41)),CONCATENATE(P13,"&amp;"),""),"")</f>
      </c>
      <c r="N13" s="174" t="e">
        <f>IF((O13-'VIB SPEC SHEET'!$AL$85)&gt;0,O13-'VIB SPEC SHEET'!$AL$85,10^10)</f>
        <v>#VALUE!</v>
      </c>
      <c r="O13" s="231"/>
      <c r="P13" s="232"/>
      <c r="Q13" s="233"/>
      <c r="S13" s="180"/>
      <c r="T13" s="180"/>
      <c r="U13" s="190"/>
      <c r="V13" s="198"/>
    </row>
    <row r="14" spans="1:22" ht="15">
      <c r="A14" s="174">
        <f>IF('VIB SPEC SHEET'!$K$85="NEMA 12",IF(AND(C14&gt;'VIB SPEC SHEET'!$AL$85,AND(B14&lt;=$B$12,B14&lt;=$B$13,B14&lt;=$B$14,B14&lt;=$B$15,B14&lt;=$B$16,B14&lt;=$B$17,B14&lt;=$B$18,B14&lt;=$B$19,B14&lt;=$B$20,B14&lt;=$B$21,B14&lt;=$B$22,B14&lt;=$B$23,B14&lt;=$B$24,B14&lt;=$B$25,B14&lt;=$B$26,B14&lt;=$B$27,B14&lt;=$B$28,B14&lt;=$B$29,B14&lt;=$B$30,B14&lt;=$B$31,B14&lt;=$B$32,B14&lt;=$B$33,B14&lt;=$B$34,B14&lt;=$B$35,B14&lt;=$B$36,B14&lt;=$B$37,B14&lt;=$B$38,B14&lt;=$B$39,B14&lt;=$B$40,B14&lt;=$B$41)),CONCATENATE(D14,"&amp;"),""),"")</f>
      </c>
      <c r="B14" s="174" t="e">
        <f>IF((C14-'VIB SPEC SHEET'!$AL$85)&gt;0,C14-'VIB SPEC SHEET'!$AL$85,10^10)</f>
        <v>#VALUE!</v>
      </c>
      <c r="C14" s="231">
        <v>2</v>
      </c>
      <c r="D14" s="232" t="s">
        <v>220</v>
      </c>
      <c r="E14" s="233">
        <v>44559809</v>
      </c>
      <c r="F14" s="197"/>
      <c r="G14" s="174">
        <f>IF('VIB SPEC SHEET'!$K$85="NEMA 4",IF(AND(I14&gt;'VIB SPEC SHEET'!$AL$85,AND(H14&lt;=$H$12,H14&lt;=$H$13,H14&lt;=$H$14,H14&lt;=$H$15,H14&lt;=$H$16,H14&lt;=$H$17,H14&lt;=$H$18,H14&lt;=$H$19,H14&lt;=$H$20,H14&lt;=$H$21,H14&lt;=$H$22,H14&lt;=$H$23,H14&lt;=$H$24,H14&lt;=$H$25,H14&lt;=$H$26,H14&lt;=$H$27,H14&lt;=$H$28,H14&lt;=$H$29,H14&lt;=$H$30,H14&lt;=$H$31,H14&lt;=$H$32,H14&lt;=$H$33,H14&lt;=$H$34,H14&lt;=$H$35,H14&lt;=$H$36,H14&lt;=$H$37,H14&lt;=$H$38,H14&lt;=$H$39,H14&lt;=$H$40,H14&lt;=$H$41)),CONCATENATE(J14,"&amp;"),""),"")</f>
      </c>
      <c r="H14" s="174" t="e">
        <f>IF((I14-'VIB SPEC SHEET'!$AL$85)&gt;0,I14-'VIB SPEC SHEET'!$AL$85,10^10)</f>
        <v>#VALUE!</v>
      </c>
      <c r="I14" s="231"/>
      <c r="J14" s="232"/>
      <c r="K14" s="233"/>
      <c r="L14" s="197"/>
      <c r="M14" s="174">
        <f>IF('VIB SPEC SHEET'!$K$85="NEMA 4X SS",IF(AND(O14&gt;'VIB SPEC SHEET'!$AL$85,AND(N14&lt;=$N$12,N14&lt;=$N$13,N14&lt;=$N$14,N14&lt;=$N$15,N14&lt;=$N$16,N14&lt;=$N$17,N14&lt;=$N$18,N14&lt;=$N$19,N14&lt;=$N$20,N14&lt;=$N$21,N14&lt;=$N$22,N14&lt;=$N$23,N14&lt;=$N$24,N14&lt;=$N$25,N14&lt;=$N$26,N14&lt;=$N$27,N14&lt;=$N$28,N14&lt;=$N$29,N14&lt;=$N$30,N14&lt;=$N$31,N14&lt;=$N$32,N14&lt;=$N$33,N14&lt;=$N$34,N14&lt;=$N$35,N14&lt;=$N$36,N14&lt;=$N$37,N14&lt;=$N$38,N14&lt;=$N$39,N14&lt;=$N$40,N14&lt;=$N$41)),CONCATENATE(P14,"&amp;"),""),"")</f>
      </c>
      <c r="N14" s="174" t="e">
        <f>IF((O14-'VIB SPEC SHEET'!$AL$85)&gt;0,O14-'VIB SPEC SHEET'!$AL$85,10^10)</f>
        <v>#VALUE!</v>
      </c>
      <c r="O14" s="231"/>
      <c r="P14" s="232"/>
      <c r="Q14" s="233"/>
      <c r="S14" s="180"/>
      <c r="T14" s="180"/>
      <c r="U14" s="190"/>
      <c r="V14" s="198"/>
    </row>
    <row r="15" spans="1:22" ht="15">
      <c r="A15" s="174">
        <f>IF('VIB SPEC SHEET'!$K$85="NEMA 12",IF(AND(C15&gt;'VIB SPEC SHEET'!$AL$85,AND(B15&lt;=$B$12,B15&lt;=$B$13,B15&lt;=$B$14,B15&lt;=$B$15,B15&lt;=$B$16,B15&lt;=$B$17,B15&lt;=$B$18,B15&lt;=$B$19,B15&lt;=$B$20,B15&lt;=$B$21,B15&lt;=$B$22,B15&lt;=$B$23,B15&lt;=$B$24,B15&lt;=$B$25,B15&lt;=$B$26,B15&lt;=$B$27,B15&lt;=$B$28,B15&lt;=$B$29,B15&lt;=$B$30,B15&lt;=$B$31,B15&lt;=$B$32,B15&lt;=$B$33,B15&lt;=$B$34,B15&lt;=$B$35,B15&lt;=$B$36,B15&lt;=$B$37,B15&lt;=$B$38,B15&lt;=$B$39,B15&lt;=$B$40,B15&lt;=$B$41)),CONCATENATE(D15,"&amp;"),""),"")</f>
      </c>
      <c r="B15" s="174" t="e">
        <f>IF((C15-'VIB SPEC SHEET'!$AL$85)&gt;0,C15-'VIB SPEC SHEET'!$AL$85,10^10)</f>
        <v>#VALUE!</v>
      </c>
      <c r="C15" s="231"/>
      <c r="D15" s="232"/>
      <c r="E15" s="233"/>
      <c r="F15" s="197"/>
      <c r="G15" s="174">
        <f>IF('VIB SPEC SHEET'!$K$85="NEMA 4",IF(AND(I15&gt;'VIB SPEC SHEET'!$AL$85,AND(H15&lt;=$H$12,H15&lt;=$H$13,H15&lt;=$H$14,H15&lt;=$H$15,H15&lt;=$H$16,H15&lt;=$H$17,H15&lt;=$H$18,H15&lt;=$H$19,H15&lt;=$H$20,H15&lt;=$H$21,H15&lt;=$H$22,H15&lt;=$H$23,H15&lt;=$H$24,H15&lt;=$H$25,H15&lt;=$H$26,H15&lt;=$H$27,H15&lt;=$H$28,H15&lt;=$H$29,H15&lt;=$H$30,H15&lt;=$H$31,H15&lt;=$H$32,H15&lt;=$H$33,H15&lt;=$H$34,H15&lt;=$H$35,H15&lt;=$H$36,H15&lt;=$H$37,H15&lt;=$H$38,H15&lt;=$H$39,H15&lt;=$H$40,H15&lt;=$H$41)),CONCATENATE(J15,"&amp;"),""),"")</f>
      </c>
      <c r="H15" s="174" t="e">
        <f>IF((I15-'VIB SPEC SHEET'!$AL$85)&gt;0,I15-'VIB SPEC SHEET'!$AL$85,10^10)</f>
        <v>#VALUE!</v>
      </c>
      <c r="I15" s="231"/>
      <c r="J15" s="232"/>
      <c r="K15" s="233"/>
      <c r="L15" s="197"/>
      <c r="M15" s="174">
        <f>IF('VIB SPEC SHEET'!$K$85="NEMA 4X SS",IF(AND(O15&gt;'VIB SPEC SHEET'!$AL$85,AND(N15&lt;=$N$12,N15&lt;=$N$13,N15&lt;=$N$14,N15&lt;=$N$15,N15&lt;=$N$16,N15&lt;=$N$17,N15&lt;=$N$18,N15&lt;=$N$19,N15&lt;=$N$20,N15&lt;=$N$21,N15&lt;=$N$22,N15&lt;=$N$23,N15&lt;=$N$24,N15&lt;=$N$25,N15&lt;=$N$26,N15&lt;=$N$27,N15&lt;=$N$28,N15&lt;=$N$29,N15&lt;=$N$30,N15&lt;=$N$31,N15&lt;=$N$32,N15&lt;=$N$33,N15&lt;=$N$34,N15&lt;=$N$35,N15&lt;=$N$36,N15&lt;=$N$37,N15&lt;=$N$38,N15&lt;=$N$39,N15&lt;=$N$40,N15&lt;=$N$41)),CONCATENATE(P15,"&amp;"),""),"")</f>
      </c>
      <c r="N15" s="174" t="e">
        <f>IF((O15-'VIB SPEC SHEET'!$AL$85)&gt;0,O15-'VIB SPEC SHEET'!$AL$85,10^10)</f>
        <v>#VALUE!</v>
      </c>
      <c r="O15" s="231"/>
      <c r="P15" s="232"/>
      <c r="Q15" s="233"/>
      <c r="S15" s="180"/>
      <c r="T15" s="180"/>
      <c r="U15" s="190"/>
      <c r="V15" s="198"/>
    </row>
    <row r="16" spans="1:22" ht="15">
      <c r="A16" s="174">
        <f>IF('VIB SPEC SHEET'!$K$85="NEMA 12",IF(AND(C16&gt;'VIB SPEC SHEET'!$AL$85,AND(B16&lt;=$B$12,B16&lt;=$B$13,B16&lt;=$B$14,B16&lt;=$B$15,B16&lt;=$B$16,B16&lt;=$B$17,B16&lt;=$B$18,B16&lt;=$B$19,B16&lt;=$B$20,B16&lt;=$B$21,B16&lt;=$B$22,B16&lt;=$B$23,B16&lt;=$B$24,B16&lt;=$B$25,B16&lt;=$B$26,B16&lt;=$B$27,B16&lt;=$B$28,B16&lt;=$B$29,B16&lt;=$B$30,B16&lt;=$B$31,B16&lt;=$B$32,B16&lt;=$B$33,B16&lt;=$B$34,B16&lt;=$B$35,B16&lt;=$B$36,B16&lt;=$B$37,B16&lt;=$B$38,B16&lt;=$B$39,B16&lt;=$B$40,B16&lt;=$B$41)),CONCATENATE(D16,"&amp;"),""),"")</f>
      </c>
      <c r="B16" s="174" t="e">
        <f>IF((C16-'VIB SPEC SHEET'!$AL$85)&gt;0,C16-'VIB SPEC SHEET'!$AL$85,10^10)</f>
        <v>#VALUE!</v>
      </c>
      <c r="C16" s="231"/>
      <c r="D16" s="232"/>
      <c r="E16" s="233"/>
      <c r="F16" s="197"/>
      <c r="G16" s="174">
        <f>IF('VIB SPEC SHEET'!$K$85="NEMA 4",IF(AND(I16&gt;'VIB SPEC SHEET'!$AL$85,AND(H16&lt;=$H$12,H16&lt;=$H$13,H16&lt;=$H$14,H16&lt;=$H$15,H16&lt;=$H$16,H16&lt;=$H$17,H16&lt;=$H$18,H16&lt;=$H$19,H16&lt;=$H$20,H16&lt;=$H$21,H16&lt;=$H$22,H16&lt;=$H$23,H16&lt;=$H$24,H16&lt;=$H$25,H16&lt;=$H$26,H16&lt;=$H$27,H16&lt;=$H$28,H16&lt;=$H$29,H16&lt;=$H$30,H16&lt;=$H$31,H16&lt;=$H$32,H16&lt;=$H$33,H16&lt;=$H$34,H16&lt;=$H$35,H16&lt;=$H$36,H16&lt;=$H$37,H16&lt;=$H$38,H16&lt;=$H$39,H16&lt;=$H$40,H16&lt;=$H$41)),CONCATENATE(J16,"&amp;"),""),"")</f>
      </c>
      <c r="H16" s="174" t="e">
        <f>IF((I16-'VIB SPEC SHEET'!$AL$85)&gt;0,I16-'VIB SPEC SHEET'!$AL$85,10^10)</f>
        <v>#VALUE!</v>
      </c>
      <c r="I16" s="231"/>
      <c r="J16" s="232"/>
      <c r="K16" s="233"/>
      <c r="L16" s="197"/>
      <c r="M16" s="174">
        <f>IF('VIB SPEC SHEET'!$K$85="NEMA 4X SS",IF(AND(O16&gt;'VIB SPEC SHEET'!$AL$85,AND(N16&lt;=$N$12,N16&lt;=$N$13,N16&lt;=$N$14,N16&lt;=$N$15,N16&lt;=$N$16,N16&lt;=$N$17,N16&lt;=$N$18,N16&lt;=$N$19,N16&lt;=$N$20,N16&lt;=$N$21,N16&lt;=$N$22,N16&lt;=$N$23,N16&lt;=$N$24,N16&lt;=$N$25,N16&lt;=$N$26,N16&lt;=$N$27,N16&lt;=$N$28,N16&lt;=$N$29,N16&lt;=$N$30,N16&lt;=$N$31,N16&lt;=$N$32,N16&lt;=$N$33,N16&lt;=$N$34,N16&lt;=$N$35,N16&lt;=$N$36,N16&lt;=$N$37,N16&lt;=$N$38,N16&lt;=$N$39,N16&lt;=$N$40,N16&lt;=$N$41)),CONCATENATE(P16,"&amp;"),""),"")</f>
      </c>
      <c r="N16" s="174" t="e">
        <f>IF((O16-'VIB SPEC SHEET'!$AL$85)&gt;0,O16-'VIB SPEC SHEET'!$AL$85,10^10)</f>
        <v>#VALUE!</v>
      </c>
      <c r="O16" s="231"/>
      <c r="P16" s="232"/>
      <c r="Q16" s="233"/>
      <c r="S16" s="180"/>
      <c r="T16" s="180"/>
      <c r="U16" s="190"/>
      <c r="V16" s="198"/>
    </row>
    <row r="17" spans="1:22" ht="15">
      <c r="A17" s="174">
        <f>IF('VIB SPEC SHEET'!$K$85="NEMA 12",IF(AND(C17&gt;'VIB SPEC SHEET'!$AL$85,AND(B17&lt;=$B$12,B17&lt;=$B$13,B17&lt;=$B$14,B17&lt;=$B$15,B17&lt;=$B$16,B17&lt;=$B$17,B17&lt;=$B$18,B17&lt;=$B$19,B17&lt;=$B$20,B17&lt;=$B$21,B17&lt;=$B$22,B17&lt;=$B$23,B17&lt;=$B$24,B17&lt;=$B$25,B17&lt;=$B$26,B17&lt;=$B$27,B17&lt;=$B$28,B17&lt;=$B$29,B17&lt;=$B$30,B17&lt;=$B$31,B17&lt;=$B$32,B17&lt;=$B$33,B17&lt;=$B$34,B17&lt;=$B$35,B17&lt;=$B$36,B17&lt;=$B$37,B17&lt;=$B$38,B17&lt;=$B$39,B17&lt;=$B$40,B17&lt;=$B$41)),CONCATENATE(D17,"&amp;"),""),"")</f>
      </c>
      <c r="B17" s="174" t="e">
        <f>IF((C17-'VIB SPEC SHEET'!$AL$85)&gt;0,C17-'VIB SPEC SHEET'!$AL$85,10^10)</f>
        <v>#VALUE!</v>
      </c>
      <c r="C17" s="231"/>
      <c r="D17" s="232"/>
      <c r="E17" s="233"/>
      <c r="F17" s="197"/>
      <c r="G17" s="174">
        <f>IF('VIB SPEC SHEET'!$K$85="NEMA 4",IF(AND(I17&gt;'VIB SPEC SHEET'!$AL$85,AND(H17&lt;=$H$12,H17&lt;=$H$13,H17&lt;=$H$14,H17&lt;=$H$15,H17&lt;=$H$16,H17&lt;=$H$17,H17&lt;=$H$18,H17&lt;=$H$19,H17&lt;=$H$20,H17&lt;=$H$21,H17&lt;=$H$22,H17&lt;=$H$23,H17&lt;=$H$24,H17&lt;=$H$25,H17&lt;=$H$26,H17&lt;=$H$27,H17&lt;=$H$28,H17&lt;=$H$29,H17&lt;=$H$30,H17&lt;=$H$31,H17&lt;=$H$32,H17&lt;=$H$33,H17&lt;=$H$34,H17&lt;=$H$35,H17&lt;=$H$36,H17&lt;=$H$37,H17&lt;=$H$38,H17&lt;=$H$39,H17&lt;=$H$40,H17&lt;=$H$41)),CONCATENATE(J17,"&amp;"),""),"")</f>
      </c>
      <c r="H17" s="174" t="e">
        <f>IF((I17-'VIB SPEC SHEET'!$AL$85)&gt;0,I17-'VIB SPEC SHEET'!$AL$85,10^10)</f>
        <v>#VALUE!</v>
      </c>
      <c r="I17" s="231"/>
      <c r="J17" s="232"/>
      <c r="K17" s="233"/>
      <c r="L17" s="197"/>
      <c r="M17" s="174">
        <f>IF('VIB SPEC SHEET'!$K$85="NEMA 4X SS",IF(AND(O17&gt;'VIB SPEC SHEET'!$AL$85,AND(N17&lt;=$N$12,N17&lt;=$N$13,N17&lt;=$N$14,N17&lt;=$N$15,N17&lt;=$N$16,N17&lt;=$N$17,N17&lt;=$N$18,N17&lt;=$N$19,N17&lt;=$N$20,N17&lt;=$N$21,N17&lt;=$N$22,N17&lt;=$N$23,N17&lt;=$N$24,N17&lt;=$N$25,N17&lt;=$N$26,N17&lt;=$N$27,N17&lt;=$N$28,N17&lt;=$N$29,N17&lt;=$N$30,N17&lt;=$N$31,N17&lt;=$N$32,N17&lt;=$N$33,N17&lt;=$N$34,N17&lt;=$N$35,N17&lt;=$N$36,N17&lt;=$N$37,N17&lt;=$N$38,N17&lt;=$N$39,N17&lt;=$N$40,N17&lt;=$N$41)),CONCATENATE(P17,"&amp;"),""),"")</f>
      </c>
      <c r="N17" s="174" t="e">
        <f>IF((O17-'VIB SPEC SHEET'!$AL$85)&gt;0,O17-'VIB SPEC SHEET'!$AL$85,10^10)</f>
        <v>#VALUE!</v>
      </c>
      <c r="O17" s="231"/>
      <c r="P17" s="232"/>
      <c r="Q17" s="233"/>
      <c r="S17" s="180"/>
      <c r="T17" s="180"/>
      <c r="U17" s="190"/>
      <c r="V17" s="198"/>
    </row>
    <row r="18" spans="1:22" ht="15">
      <c r="A18" s="174">
        <f>IF('VIB SPEC SHEET'!$K$85="NEMA 12",IF(AND(C18&gt;'VIB SPEC SHEET'!$AL$85,AND(B18&lt;=$B$12,B18&lt;=$B$13,B18&lt;=$B$14,B18&lt;=$B$15,B18&lt;=$B$16,B18&lt;=$B$17,B18&lt;=$B$18,B18&lt;=$B$19,B18&lt;=$B$20,B18&lt;=$B$21,B18&lt;=$B$22,B18&lt;=$B$23,B18&lt;=$B$24,B18&lt;=$B$25,B18&lt;=$B$26,B18&lt;=$B$27,B18&lt;=$B$28,B18&lt;=$B$29,B18&lt;=$B$30,B18&lt;=$B$31,B18&lt;=$B$32,B18&lt;=$B$33,B18&lt;=$B$34,B18&lt;=$B$35,B18&lt;=$B$36,B18&lt;=$B$37,B18&lt;=$B$38,B18&lt;=$B$39,B18&lt;=$B$40,B18&lt;=$B$41)),CONCATENATE(D18,"&amp;"),""),"")</f>
      </c>
      <c r="B18" s="174" t="e">
        <f>IF((C18-'VIB SPEC SHEET'!$AL$85)&gt;0,C18-'VIB SPEC SHEET'!$AL$85,10^10)</f>
        <v>#VALUE!</v>
      </c>
      <c r="C18" s="231">
        <v>6</v>
      </c>
      <c r="D18" s="232" t="s">
        <v>221</v>
      </c>
      <c r="E18" s="233" t="s">
        <v>163</v>
      </c>
      <c r="F18" s="197"/>
      <c r="G18" s="174">
        <f>IF('VIB SPEC SHEET'!$K$85="NEMA 4",IF(AND(I18&gt;'VIB SPEC SHEET'!$AL$85,AND(H18&lt;=$H$12,H18&lt;=$H$13,H18&lt;=$H$14,H18&lt;=$H$15,H18&lt;=$H$16,H18&lt;=$H$17,H18&lt;=$H$18,H18&lt;=$H$19,H18&lt;=$H$20,H18&lt;=$H$21,H18&lt;=$H$22,H18&lt;=$H$23,H18&lt;=$H$24,H18&lt;=$H$25,H18&lt;=$H$26,H18&lt;=$H$27,H18&lt;=$H$28,H18&lt;=$H$29,H18&lt;=$H$30,H18&lt;=$H$31,H18&lt;=$H$32,H18&lt;=$H$33,H18&lt;=$H$34,H18&lt;=$H$35,H18&lt;=$H$36,H18&lt;=$H$37,H18&lt;=$H$38,H18&lt;=$H$39,H18&lt;=$H$40,H18&lt;=$H$41)),CONCATENATE(J18,"&amp;"),""),"")</f>
      </c>
      <c r="H18" s="174" t="e">
        <f>IF((I18-'VIB SPEC SHEET'!$AL$85)&gt;0,I18-'VIB SPEC SHEET'!$AL$85,10^10)</f>
        <v>#VALUE!</v>
      </c>
      <c r="I18" s="231"/>
      <c r="J18" s="232"/>
      <c r="K18" s="233"/>
      <c r="L18" s="197"/>
      <c r="M18" s="174">
        <f>IF('VIB SPEC SHEET'!$K$85="NEMA 4X SS",IF(AND(O18&gt;'VIB SPEC SHEET'!$AL$85,AND(N18&lt;=$N$12,N18&lt;=$N$13,N18&lt;=$N$14,N18&lt;=$N$15,N18&lt;=$N$16,N18&lt;=$N$17,N18&lt;=$N$18,N18&lt;=$N$19,N18&lt;=$N$20,N18&lt;=$N$21,N18&lt;=$N$22,N18&lt;=$N$23,N18&lt;=$N$24,N18&lt;=$N$25,N18&lt;=$N$26,N18&lt;=$N$27,N18&lt;=$N$28,N18&lt;=$N$29,N18&lt;=$N$30,N18&lt;=$N$31,N18&lt;=$N$32,N18&lt;=$N$33,N18&lt;=$N$34,N18&lt;=$N$35,N18&lt;=$N$36,N18&lt;=$N$37,N18&lt;=$N$38,N18&lt;=$N$39,N18&lt;=$N$40,N18&lt;=$N$41)),CONCATENATE(P18,"&amp;"),""),"")</f>
      </c>
      <c r="N18" s="174" t="e">
        <f>IF((O18-'VIB SPEC SHEET'!$AL$85)&gt;0,O18-'VIB SPEC SHEET'!$AL$85,10^10)</f>
        <v>#VALUE!</v>
      </c>
      <c r="O18" s="231"/>
      <c r="P18" s="232"/>
      <c r="Q18" s="233"/>
      <c r="S18" s="180"/>
      <c r="T18" s="180"/>
      <c r="U18" s="190"/>
      <c r="V18" s="198"/>
    </row>
    <row r="19" spans="1:22" ht="15">
      <c r="A19" s="174">
        <f>IF('VIB SPEC SHEET'!$K$85="NEMA 12",IF(AND(C19&gt;'VIB SPEC SHEET'!$AL$85,AND(B19&lt;=$B$12,B19&lt;=$B$13,B19&lt;=$B$14,B19&lt;=$B$15,B19&lt;=$B$16,B19&lt;=$B$17,B19&lt;=$B$18,B19&lt;=$B$19,B19&lt;=$B$20,B19&lt;=$B$21,B19&lt;=$B$22,B19&lt;=$B$23,B19&lt;=$B$24,B19&lt;=$B$25,B19&lt;=$B$26,B19&lt;=$B$27,B19&lt;=$B$28,B19&lt;=$B$29,B19&lt;=$B$30,B19&lt;=$B$31,B19&lt;=$B$32,B19&lt;=$B$33,B19&lt;=$B$34,B19&lt;=$B$35,B19&lt;=$B$36,B19&lt;=$B$37,B19&lt;=$B$38,B19&lt;=$B$39,B19&lt;=$B$40,B19&lt;=$B$41)),CONCATENATE(D19,"&amp;"),""),"")</f>
      </c>
      <c r="B19" s="174" t="e">
        <f>IF((C19-'VIB SPEC SHEET'!$AL$85)&gt;0,C19-'VIB SPEC SHEET'!$AL$85,10^10)</f>
        <v>#VALUE!</v>
      </c>
      <c r="C19" s="231">
        <v>6</v>
      </c>
      <c r="D19" s="232" t="s">
        <v>222</v>
      </c>
      <c r="E19" s="233">
        <v>44559805</v>
      </c>
      <c r="F19" s="197"/>
      <c r="G19" s="174">
        <f>IF('VIB SPEC SHEET'!$K$85="NEMA 4",IF(AND(I19&gt;'VIB SPEC SHEET'!$AL$85,AND(H19&lt;=$H$12,H19&lt;=$H$13,H19&lt;=$H$14,H19&lt;=$H$15,H19&lt;=$H$16,H19&lt;=$H$17,H19&lt;=$H$18,H19&lt;=$H$19,H19&lt;=$H$20,H19&lt;=$H$21,H19&lt;=$H$22,H19&lt;=$H$23,H19&lt;=$H$24,H19&lt;=$H$25,H19&lt;=$H$26,H19&lt;=$H$27,H19&lt;=$H$28,H19&lt;=$H$29,H19&lt;=$H$30,H19&lt;=$H$31,H19&lt;=$H$32,H19&lt;=$H$33,H19&lt;=$H$34,H19&lt;=$H$35,H19&lt;=$H$36,H19&lt;=$H$37,H19&lt;=$H$38,H19&lt;=$H$39,H19&lt;=$H$40,H19&lt;=$H$41)),CONCATENATE(J19,"&amp;"),""),"")</f>
      </c>
      <c r="H19" s="174" t="e">
        <f>IF((I19-'VIB SPEC SHEET'!$AL$85)&gt;0,I19-'VIB SPEC SHEET'!$AL$85,10^10)</f>
        <v>#VALUE!</v>
      </c>
      <c r="I19" s="231"/>
      <c r="J19" s="232"/>
      <c r="K19" s="233"/>
      <c r="L19" s="197"/>
      <c r="M19" s="174">
        <f>IF('VIB SPEC SHEET'!$K$85="NEMA 4X SS",IF(AND(O19&gt;'VIB SPEC SHEET'!$AL$85,AND(N19&lt;=$N$12,N19&lt;=$N$13,N19&lt;=$N$14,N19&lt;=$N$15,N19&lt;=$N$16,N19&lt;=$N$17,N19&lt;=$N$18,N19&lt;=$N$19,N19&lt;=$N$20,N19&lt;=$N$21,N19&lt;=$N$22,N19&lt;=$N$23,N19&lt;=$N$24,N19&lt;=$N$25,N19&lt;=$N$26,N19&lt;=$N$27,N19&lt;=$N$28,N19&lt;=$N$29,N19&lt;=$N$30,N19&lt;=$N$31,N19&lt;=$N$32,N19&lt;=$N$33,N19&lt;=$N$34,N19&lt;=$N$35,N19&lt;=$N$36,N19&lt;=$N$37,N19&lt;=$N$38,N19&lt;=$N$39,N19&lt;=$N$40,N19&lt;=$N$41)),CONCATENATE(P19,"&amp;"),""),"")</f>
      </c>
      <c r="N19" s="174" t="e">
        <f>IF((O19-'VIB SPEC SHEET'!$AL$85)&gt;0,O19-'VIB SPEC SHEET'!$AL$85,10^10)</f>
        <v>#VALUE!</v>
      </c>
      <c r="O19" s="231"/>
      <c r="P19" s="232"/>
      <c r="Q19" s="233"/>
      <c r="S19" s="180"/>
      <c r="T19" s="180"/>
      <c r="U19" s="190"/>
      <c r="V19" s="198"/>
    </row>
    <row r="20" spans="1:22" ht="15">
      <c r="A20" s="174">
        <f>IF('VIB SPEC SHEET'!$K$85="NEMA 12",IF(AND(C20&gt;'VIB SPEC SHEET'!$AL$85,AND(B20&lt;=$B$12,B20&lt;=$B$13,B20&lt;=$B$14,B20&lt;=$B$15,B20&lt;=$B$16,B20&lt;=$B$17,B20&lt;=$B$18,B20&lt;=$B$19,B20&lt;=$B$20,B20&lt;=$B$21,B20&lt;=$B$22,B20&lt;=$B$23,B20&lt;=$B$24,B20&lt;=$B$25,B20&lt;=$B$26,B20&lt;=$B$27,B20&lt;=$B$28,B20&lt;=$B$29,B20&lt;=$B$30,B20&lt;=$B$31,B20&lt;=$B$32,B20&lt;=$B$33,B20&lt;=$B$34,B20&lt;=$B$35,B20&lt;=$B$36,B20&lt;=$B$37,B20&lt;=$B$38,B20&lt;=$B$39,B20&lt;=$B$40,B20&lt;=$B$41)),CONCATENATE(D20,"&amp;"),""),"")</f>
      </c>
      <c r="B20" s="174" t="e">
        <f>IF((C20-'VIB SPEC SHEET'!$AL$85)&gt;0,C20-'VIB SPEC SHEET'!$AL$85,10^10)</f>
        <v>#VALUE!</v>
      </c>
      <c r="C20" s="231">
        <v>6</v>
      </c>
      <c r="D20" s="232" t="s">
        <v>223</v>
      </c>
      <c r="E20" s="233">
        <v>44559806</v>
      </c>
      <c r="F20" s="197"/>
      <c r="G20" s="174">
        <f>IF('VIB SPEC SHEET'!$K$85="NEMA 4",IF(AND(I20&gt;'VIB SPEC SHEET'!$AL$85,AND(H20&lt;=$H$12,H20&lt;=$H$13,H20&lt;=$H$14,H20&lt;=$H$15,H20&lt;=$H$16,H20&lt;=$H$17,H20&lt;=$H$18,H20&lt;=$H$19,H20&lt;=$H$20,H20&lt;=$H$21,H20&lt;=$H$22,H20&lt;=$H$23,H20&lt;=$H$24,H20&lt;=$H$25,H20&lt;=$H$26,H20&lt;=$H$27,H20&lt;=$H$28,H20&lt;=$H$29,H20&lt;=$H$30,H20&lt;=$H$31,H20&lt;=$H$32,H20&lt;=$H$33,H20&lt;=$H$34,H20&lt;=$H$35,H20&lt;=$H$36,H20&lt;=$H$37,H20&lt;=$H$38,H20&lt;=$H$39,H20&lt;=$H$40,H20&lt;=$H$41)),CONCATENATE(J20,"&amp;"),""),"")</f>
      </c>
      <c r="H20" s="174" t="e">
        <f>IF((I20-'VIB SPEC SHEET'!$AL$85)&gt;0,I20-'VIB SPEC SHEET'!$AL$85,10^10)</f>
        <v>#VALUE!</v>
      </c>
      <c r="I20" s="231"/>
      <c r="J20" s="232"/>
      <c r="K20" s="233"/>
      <c r="L20" s="197"/>
      <c r="M20" s="174">
        <f>IF('VIB SPEC SHEET'!$K$85="NEMA 4X SS",IF(AND(O20&gt;'VIB SPEC SHEET'!$AL$85,AND(N20&lt;=$N$12,N20&lt;=$N$13,N20&lt;=$N$14,N20&lt;=$N$15,N20&lt;=$N$16,N20&lt;=$N$17,N20&lt;=$N$18,N20&lt;=$N$19,N20&lt;=$N$20,N20&lt;=$N$21,N20&lt;=$N$22,N20&lt;=$N$23,N20&lt;=$N$24,N20&lt;=$N$25,N20&lt;=$N$26,N20&lt;=$N$27,N20&lt;=$N$28,N20&lt;=$N$29,N20&lt;=$N$30,N20&lt;=$N$31,N20&lt;=$N$32,N20&lt;=$N$33,N20&lt;=$N$34,N20&lt;=$N$35,N20&lt;=$N$36,N20&lt;=$N$37,N20&lt;=$N$38,N20&lt;=$N$39,N20&lt;=$N$40,N20&lt;=$N$41)),CONCATENATE(P20,"&amp;"),""),"")</f>
      </c>
      <c r="N20" s="174" t="e">
        <f>IF((O20-'VIB SPEC SHEET'!$AL$85)&gt;0,O20-'VIB SPEC SHEET'!$AL$85,10^10)</f>
        <v>#VALUE!</v>
      </c>
      <c r="O20" s="231"/>
      <c r="P20" s="232"/>
      <c r="Q20" s="233"/>
      <c r="S20" s="180"/>
      <c r="T20" s="180"/>
      <c r="U20" s="190"/>
      <c r="V20" s="198"/>
    </row>
    <row r="21" spans="1:22" ht="15">
      <c r="A21" s="174">
        <f>IF('VIB SPEC SHEET'!$K$85="NEMA 12",IF(AND(C21&gt;'VIB SPEC SHEET'!$AL$85,AND(B21&lt;=$B$12,B21&lt;=$B$13,B21&lt;=$B$14,B21&lt;=$B$15,B21&lt;=$B$16,B21&lt;=$B$17,B21&lt;=$B$18,B21&lt;=$B$19,B21&lt;=$B$20,B21&lt;=$B$21,B21&lt;=$B$22,B21&lt;=$B$23,B21&lt;=$B$24,B21&lt;=$B$25,B21&lt;=$B$26,B21&lt;=$B$27,B21&lt;=$B$28,B21&lt;=$B$29,B21&lt;=$B$30,B21&lt;=$B$31,B21&lt;=$B$32,B21&lt;=$B$33,B21&lt;=$B$34,B21&lt;=$B$35,B21&lt;=$B$36,B21&lt;=$B$37,B21&lt;=$B$38,B21&lt;=$B$39,B21&lt;=$B$40,B21&lt;=$B$41)),CONCATENATE(D21,"&amp;"),""),"")</f>
      </c>
      <c r="B21" s="174" t="e">
        <f>IF((C21-'VIB SPEC SHEET'!$AL$85)&gt;0,C21-'VIB SPEC SHEET'!$AL$85,10^10)</f>
        <v>#VALUE!</v>
      </c>
      <c r="C21" s="231"/>
      <c r="D21" s="232"/>
      <c r="E21" s="233"/>
      <c r="F21" s="197"/>
      <c r="G21" s="174">
        <f>IF('VIB SPEC SHEET'!$K$85="NEMA 4",IF(AND(I21&gt;'VIB SPEC SHEET'!$AL$85,AND(H21&lt;=$H$12,H21&lt;=$H$13,H21&lt;=$H$14,H21&lt;=$H$15,H21&lt;=$H$16,H21&lt;=$H$17,H21&lt;=$H$18,H21&lt;=$H$19,H21&lt;=$H$20,H21&lt;=$H$21,H21&lt;=$H$22,H21&lt;=$H$23,H21&lt;=$H$24,H21&lt;=$H$25,H21&lt;=$H$26,H21&lt;=$H$27,H21&lt;=$H$28,H21&lt;=$H$29,H21&lt;=$H$30,H21&lt;=$H$31,H21&lt;=$H$32,H21&lt;=$H$33,H21&lt;=$H$34,H21&lt;=$H$35,H21&lt;=$H$36,H21&lt;=$H$37,H21&lt;=$H$38,H21&lt;=$H$39,H21&lt;=$H$40,H21&lt;=$H$41)),CONCATENATE(J21,"&amp;"),""),"")</f>
      </c>
      <c r="H21" s="174" t="e">
        <f>IF((I21-'VIB SPEC SHEET'!$AL$85)&gt;0,I21-'VIB SPEC SHEET'!$AL$85,10^10)</f>
        <v>#VALUE!</v>
      </c>
      <c r="I21" s="231"/>
      <c r="J21" s="232"/>
      <c r="K21" s="233"/>
      <c r="L21" s="197"/>
      <c r="M21" s="174">
        <f>IF('VIB SPEC SHEET'!$K$85="NEMA 4X SS",IF(AND(O21&gt;'VIB SPEC SHEET'!$AL$85,AND(N21&lt;=$N$12,N21&lt;=$N$13,N21&lt;=$N$14,N21&lt;=$N$15,N21&lt;=$N$16,N21&lt;=$N$17,N21&lt;=$N$18,N21&lt;=$N$19,N21&lt;=$N$20,N21&lt;=$N$21,N21&lt;=$N$22,N21&lt;=$N$23,N21&lt;=$N$24,N21&lt;=$N$25,N21&lt;=$N$26,N21&lt;=$N$27,N21&lt;=$N$28,N21&lt;=$N$29,N21&lt;=$N$30,N21&lt;=$N$31,N21&lt;=$N$32,N21&lt;=$N$33,N21&lt;=$N$34,N21&lt;=$N$35,N21&lt;=$N$36,N21&lt;=$N$37,N21&lt;=$N$38,N21&lt;=$N$39,N21&lt;=$N$40,N21&lt;=$N$41)),CONCATENATE(P21,"&amp;"),""),"")</f>
      </c>
      <c r="N21" s="174" t="e">
        <f>IF((O21-'VIB SPEC SHEET'!$AL$85)&gt;0,O21-'VIB SPEC SHEET'!$AL$85,10^10)</f>
        <v>#VALUE!</v>
      </c>
      <c r="O21" s="231"/>
      <c r="P21" s="232"/>
      <c r="Q21" s="233"/>
      <c r="S21" s="180"/>
      <c r="T21" s="180"/>
      <c r="U21" s="190"/>
      <c r="V21" s="198"/>
    </row>
    <row r="22" spans="1:22" ht="15">
      <c r="A22" s="174">
        <f>IF('VIB SPEC SHEET'!$K$85="NEMA 12",IF(AND(C22&gt;'VIB SPEC SHEET'!$AL$85,AND(B22&lt;=$B$12,B22&lt;=$B$13,B22&lt;=$B$14,B22&lt;=$B$15,B22&lt;=$B$16,B22&lt;=$B$17,B22&lt;=$B$18,B22&lt;=$B$19,B22&lt;=$B$20,B22&lt;=$B$21,B22&lt;=$B$22,B22&lt;=$B$23,B22&lt;=$B$24,B22&lt;=$B$25,B22&lt;=$B$26,B22&lt;=$B$27,B22&lt;=$B$28,B22&lt;=$B$29,B22&lt;=$B$30,B22&lt;=$B$31,B22&lt;=$B$32,B22&lt;=$B$33,B22&lt;=$B$34,B22&lt;=$B$35,B22&lt;=$B$36,B22&lt;=$B$37,B22&lt;=$B$38,B22&lt;=$B$39,B22&lt;=$B$40,B22&lt;=$B$41)),CONCATENATE(D22,"&amp;"),""),"")</f>
      </c>
      <c r="B22" s="174" t="e">
        <f>IF((C22-'VIB SPEC SHEET'!$AL$85)&gt;0,C22-'VIB SPEC SHEET'!$AL$85,10^10)</f>
        <v>#VALUE!</v>
      </c>
      <c r="C22" s="231"/>
      <c r="D22" s="232"/>
      <c r="E22" s="233"/>
      <c r="F22" s="197"/>
      <c r="G22" s="174">
        <f>IF('VIB SPEC SHEET'!$K$85="NEMA 4",IF(AND(I22&gt;'VIB SPEC SHEET'!$AL$85,AND(H22&lt;=$H$12,H22&lt;=$H$13,H22&lt;=$H$14,H22&lt;=$H$15,H22&lt;=$H$16,H22&lt;=$H$17,H22&lt;=$H$18,H22&lt;=$H$19,H22&lt;=$H$20,H22&lt;=$H$21,H22&lt;=$H$22,H22&lt;=$H$23,H22&lt;=$H$24,H22&lt;=$H$25,H22&lt;=$H$26,H22&lt;=$H$27,H22&lt;=$H$28,H22&lt;=$H$29,H22&lt;=$H$30,H22&lt;=$H$31,H22&lt;=$H$32,H22&lt;=$H$33,H22&lt;=$H$34,H22&lt;=$H$35,H22&lt;=$H$36,H22&lt;=$H$37,H22&lt;=$H$38,H22&lt;=$H$39,H22&lt;=$H$40,H22&lt;=$H$41)),CONCATENATE(J22,"&amp;"),""),"")</f>
      </c>
      <c r="H22" s="174" t="e">
        <f>IF((I22-'VIB SPEC SHEET'!$AL$85)&gt;0,I22-'VIB SPEC SHEET'!$AL$85,10^10)</f>
        <v>#VALUE!</v>
      </c>
      <c r="I22" s="231"/>
      <c r="J22" s="232"/>
      <c r="K22" s="233"/>
      <c r="L22" s="197"/>
      <c r="M22" s="174">
        <f>IF('VIB SPEC SHEET'!$K$85="NEMA 4X SS",IF(AND(O22&gt;'VIB SPEC SHEET'!$AL$85,AND(N22&lt;=$N$12,N22&lt;=$N$13,N22&lt;=$N$14,N22&lt;=$N$15,N22&lt;=$N$16,N22&lt;=$N$17,N22&lt;=$N$18,N22&lt;=$N$19,N22&lt;=$N$20,N22&lt;=$N$21,N22&lt;=$N$22,N22&lt;=$N$23,N22&lt;=$N$24,N22&lt;=$N$25,N22&lt;=$N$26,N22&lt;=$N$27,N22&lt;=$N$28,N22&lt;=$N$29,N22&lt;=$N$30,N22&lt;=$N$31,N22&lt;=$N$32,N22&lt;=$N$33,N22&lt;=$N$34,N22&lt;=$N$35,N22&lt;=$N$36,N22&lt;=$N$37,N22&lt;=$N$38,N22&lt;=$N$39,N22&lt;=$N$40,N22&lt;=$N$41)),CONCATENATE(P22,"&amp;"),""),"")</f>
      </c>
      <c r="N22" s="174" t="e">
        <f>IF((O22-'VIB SPEC SHEET'!$AL$85)&gt;0,O22-'VIB SPEC SHEET'!$AL$85,10^10)</f>
        <v>#VALUE!</v>
      </c>
      <c r="O22" s="231"/>
      <c r="P22" s="232"/>
      <c r="Q22" s="233"/>
      <c r="S22" s="180"/>
      <c r="T22" s="180"/>
      <c r="U22" s="190"/>
      <c r="V22" s="198"/>
    </row>
    <row r="23" spans="1:22" ht="15">
      <c r="A23" s="174">
        <f>IF('VIB SPEC SHEET'!$K$85="NEMA 12",IF(AND(C23&gt;'VIB SPEC SHEET'!$AL$85,AND(B23&lt;=$B$12,B23&lt;=$B$13,B23&lt;=$B$14,B23&lt;=$B$15,B23&lt;=$B$16,B23&lt;=$B$17,B23&lt;=$B$18,B23&lt;=$B$19,B23&lt;=$B$20,B23&lt;=$B$21,B23&lt;=$B$22,B23&lt;=$B$23,B23&lt;=$B$24,B23&lt;=$B$25,B23&lt;=$B$26,B23&lt;=$B$27,B23&lt;=$B$28,B23&lt;=$B$29,B23&lt;=$B$30,B23&lt;=$B$31,B23&lt;=$B$32,B23&lt;=$B$33,B23&lt;=$B$34,B23&lt;=$B$35,B23&lt;=$B$36,B23&lt;=$B$37,B23&lt;=$B$38,B23&lt;=$B$39,B23&lt;=$B$40,B23&lt;=$B$41)),CONCATENATE(D23,"&amp;"),""),"")</f>
      </c>
      <c r="B23" s="174" t="e">
        <f>IF((C23-'VIB SPEC SHEET'!$AL$85)&gt;0,C23-'VIB SPEC SHEET'!$AL$85,10^10)</f>
        <v>#VALUE!</v>
      </c>
      <c r="C23" s="231"/>
      <c r="D23" s="232"/>
      <c r="E23" s="233"/>
      <c r="F23" s="197"/>
      <c r="G23" s="174">
        <f>IF('VIB SPEC SHEET'!$K$85="NEMA 4",IF(AND(I23&gt;'VIB SPEC SHEET'!$AL$85,AND(H23&lt;=$H$12,H23&lt;=$H$13,H23&lt;=$H$14,H23&lt;=$H$15,H23&lt;=$H$16,H23&lt;=$H$17,H23&lt;=$H$18,H23&lt;=$H$19,H23&lt;=$H$20,H23&lt;=$H$21,H23&lt;=$H$22,H23&lt;=$H$23,H23&lt;=$H$24,H23&lt;=$H$25,H23&lt;=$H$26,H23&lt;=$H$27,H23&lt;=$H$28,H23&lt;=$H$29,H23&lt;=$H$30,H23&lt;=$H$31,H23&lt;=$H$32,H23&lt;=$H$33,H23&lt;=$H$34,H23&lt;=$H$35,H23&lt;=$H$36,H23&lt;=$H$37,H23&lt;=$H$38,H23&lt;=$H$39,H23&lt;=$H$40,H23&lt;=$H$41)),CONCATENATE(J23,"&amp;"),""),"")</f>
      </c>
      <c r="H23" s="174" t="e">
        <f>IF((I23-'VIB SPEC SHEET'!$AL$85)&gt;0,I23-'VIB SPEC SHEET'!$AL$85,10^10)</f>
        <v>#VALUE!</v>
      </c>
      <c r="I23" s="231"/>
      <c r="J23" s="232"/>
      <c r="K23" s="233"/>
      <c r="L23" s="197"/>
      <c r="M23" s="174">
        <f>IF('VIB SPEC SHEET'!$K$85="NEMA 4X SS",IF(AND(O23&gt;'VIB SPEC SHEET'!$AL$85,AND(N23&lt;=$N$12,N23&lt;=$N$13,N23&lt;=$N$14,N23&lt;=$N$15,N23&lt;=$N$16,N23&lt;=$N$17,N23&lt;=$N$18,N23&lt;=$N$19,N23&lt;=$N$20,N23&lt;=$N$21,N23&lt;=$N$22,N23&lt;=$N$23,N23&lt;=$N$24,N23&lt;=$N$25,N23&lt;=$N$26,N23&lt;=$N$27,N23&lt;=$N$28,N23&lt;=$N$29,N23&lt;=$N$30,N23&lt;=$N$31,N23&lt;=$N$32,N23&lt;=$N$33,N23&lt;=$N$34,N23&lt;=$N$35,N23&lt;=$N$36,N23&lt;=$N$37,N23&lt;=$N$38,N23&lt;=$N$39,N23&lt;=$N$40,N23&lt;=$N$41)),CONCATENATE(P23,"&amp;"),""),"")</f>
      </c>
      <c r="N23" s="174" t="e">
        <f>IF((O23-'VIB SPEC SHEET'!$AL$85)&gt;0,O23-'VIB SPEC SHEET'!$AL$85,10^10)</f>
        <v>#VALUE!</v>
      </c>
      <c r="O23" s="231"/>
      <c r="P23" s="232"/>
      <c r="Q23" s="233"/>
      <c r="S23" s="180"/>
      <c r="T23" s="180"/>
      <c r="U23" s="190"/>
      <c r="V23" s="198"/>
    </row>
    <row r="24" spans="1:22" ht="15">
      <c r="A24" s="174">
        <f>IF('VIB SPEC SHEET'!$K$85="NEMA 12",IF(AND(C24&gt;'VIB SPEC SHEET'!$AL$85,AND(B24&lt;=$B$12,B24&lt;=$B$13,B24&lt;=$B$14,B24&lt;=$B$15,B24&lt;=$B$16,B24&lt;=$B$17,B24&lt;=$B$18,B24&lt;=$B$19,B24&lt;=$B$20,B24&lt;=$B$21,B24&lt;=$B$22,B24&lt;=$B$23,B24&lt;=$B$24,B24&lt;=$B$25,B24&lt;=$B$26,B24&lt;=$B$27,B24&lt;=$B$28,B24&lt;=$B$29,B24&lt;=$B$30,B24&lt;=$B$31,B24&lt;=$B$32,B24&lt;=$B$33,B24&lt;=$B$34,B24&lt;=$B$35,B24&lt;=$B$36,B24&lt;=$B$37,B24&lt;=$B$38,B24&lt;=$B$39,B24&lt;=$B$40,B24&lt;=$B$41)),CONCATENATE(D24,"&amp;"),""),"")</f>
      </c>
      <c r="B24" s="174" t="e">
        <f>IF((C24-'VIB SPEC SHEET'!$AL$85)&gt;0,C24-'VIB SPEC SHEET'!$AL$85,10^10)</f>
        <v>#VALUE!</v>
      </c>
      <c r="C24" s="231">
        <v>15</v>
      </c>
      <c r="D24" s="232" t="s">
        <v>81</v>
      </c>
      <c r="E24" s="233" t="s">
        <v>164</v>
      </c>
      <c r="F24" s="197"/>
      <c r="G24" s="174">
        <f>IF('VIB SPEC SHEET'!$K$85="NEMA 4",IF(AND(I24&gt;'VIB SPEC SHEET'!$AL$85,AND(H24&lt;=$H$12,H24&lt;=$H$13,H24&lt;=$H$14,H24&lt;=$H$15,H24&lt;=$H$16,H24&lt;=$H$17,H24&lt;=$H$18,H24&lt;=$H$19,H24&lt;=$H$20,H24&lt;=$H$21,H24&lt;=$H$22,H24&lt;=$H$23,H24&lt;=$H$24,H24&lt;=$H$25,H24&lt;=$H$26,H24&lt;=$H$27,H24&lt;=$H$28,H24&lt;=$H$29,H24&lt;=$H$30,H24&lt;=$H$31,H24&lt;=$H$32,H24&lt;=$H$33,H24&lt;=$H$34,H24&lt;=$H$35,H24&lt;=$H$36,H24&lt;=$H$37,H24&lt;=$H$38,H24&lt;=$H$39,H24&lt;=$H$40,H24&lt;=$H$41)),CONCATENATE(J24,"&amp;"),""),"")</f>
      </c>
      <c r="H24" s="174" t="e">
        <f>IF((I24-'VIB SPEC SHEET'!$AL$85)&gt;0,I24-'VIB SPEC SHEET'!$AL$85,10^10)</f>
        <v>#VALUE!</v>
      </c>
      <c r="I24" s="231"/>
      <c r="J24" s="232"/>
      <c r="K24" s="233"/>
      <c r="L24" s="197"/>
      <c r="M24" s="174">
        <f>IF('VIB SPEC SHEET'!$K$85="NEMA 4X SS",IF(AND(O24&gt;'VIB SPEC SHEET'!$AL$85,AND(N24&lt;=$N$12,N24&lt;=$N$13,N24&lt;=$N$14,N24&lt;=$N$15,N24&lt;=$N$16,N24&lt;=$N$17,N24&lt;=$N$18,N24&lt;=$N$19,N24&lt;=$N$20,N24&lt;=$N$21,N24&lt;=$N$22,N24&lt;=$N$23,N24&lt;=$N$24,N24&lt;=$N$25,N24&lt;=$N$26,N24&lt;=$N$27,N24&lt;=$N$28,N24&lt;=$N$29,N24&lt;=$N$30,N24&lt;=$N$31,N24&lt;=$N$32,N24&lt;=$N$33,N24&lt;=$N$34,N24&lt;=$N$35,N24&lt;=$N$36,N24&lt;=$N$37,N24&lt;=$N$38,N24&lt;=$N$39,N24&lt;=$N$40,N24&lt;=$N$41)),CONCATENATE(P24,"&amp;"),""),"")</f>
      </c>
      <c r="N24" s="174" t="e">
        <f>IF((O24-'VIB SPEC SHEET'!$AL$85)&gt;0,O24-'VIB SPEC SHEET'!$AL$85,10^10)</f>
        <v>#VALUE!</v>
      </c>
      <c r="O24" s="231"/>
      <c r="P24" s="232"/>
      <c r="Q24" s="233"/>
      <c r="S24" s="180"/>
      <c r="T24" s="180"/>
      <c r="U24" s="190"/>
      <c r="V24" s="198"/>
    </row>
    <row r="25" spans="1:22" ht="15">
      <c r="A25" s="174">
        <f>IF('VIB SPEC SHEET'!$K$85="NEMA 12",IF(AND(C25&gt;'VIB SPEC SHEET'!$AL$85,AND(B25&lt;=$B$12,B25&lt;=$B$13,B25&lt;=$B$14,B25&lt;=$B$15,B25&lt;=$B$16,B25&lt;=$B$17,B25&lt;=$B$18,B25&lt;=$B$19,B25&lt;=$B$20,B25&lt;=$B$21,B25&lt;=$B$22,B25&lt;=$B$23,B25&lt;=$B$24,B25&lt;=$B$25,B25&lt;=$B$26,B25&lt;=$B$27,B25&lt;=$B$28,B25&lt;=$B$29,B25&lt;=$B$30,B25&lt;=$B$31,B25&lt;=$B$32,B25&lt;=$B$33,B25&lt;=$B$34,B25&lt;=$B$35,B25&lt;=$B$36,B25&lt;=$B$37,B25&lt;=$B$38,B25&lt;=$B$39,B25&lt;=$B$40,B25&lt;=$B$41)),CONCATENATE(D25,"&amp;"),""),"")</f>
      </c>
      <c r="B25" s="174" t="e">
        <f>IF((C25-'VIB SPEC SHEET'!$AL$85)&gt;0,C25-'VIB SPEC SHEET'!$AL$85,10^10)</f>
        <v>#VALUE!</v>
      </c>
      <c r="C25" s="231">
        <v>15</v>
      </c>
      <c r="D25" s="232" t="s">
        <v>82</v>
      </c>
      <c r="E25" s="233">
        <v>44559802</v>
      </c>
      <c r="F25" s="197"/>
      <c r="G25" s="174">
        <f>IF('VIB SPEC SHEET'!$K$85="NEMA 4",IF(AND(I25&gt;'VIB SPEC SHEET'!$AL$85,AND(H25&lt;=$H$12,H25&lt;=$H$13,H25&lt;=$H$14,H25&lt;=$H$15,H25&lt;=$H$16,H25&lt;=$H$17,H25&lt;=$H$18,H25&lt;=$H$19,H25&lt;=$H$20,H25&lt;=$H$21,H25&lt;=$H$22,H25&lt;=$H$23,H25&lt;=$H$24,H25&lt;=$H$25,H25&lt;=$H$26,H25&lt;=$H$27,H25&lt;=$H$28,H25&lt;=$H$29,H25&lt;=$H$30,H25&lt;=$H$31,H25&lt;=$H$32,H25&lt;=$H$33,H25&lt;=$H$34,H25&lt;=$H$35,H25&lt;=$H$36,H25&lt;=$H$37,H25&lt;=$H$38,H25&lt;=$H$39,H25&lt;=$H$40,H25&lt;=$H$41)),CONCATENATE(J25,"&amp;"),""),"")</f>
      </c>
      <c r="H25" s="174" t="e">
        <f>IF((I25-'VIB SPEC SHEET'!$AL$85)&gt;0,I25-'VIB SPEC SHEET'!$AL$85,10^10)</f>
        <v>#VALUE!</v>
      </c>
      <c r="I25" s="231"/>
      <c r="J25" s="232"/>
      <c r="K25" s="233"/>
      <c r="L25" s="197"/>
      <c r="M25" s="174">
        <f>IF('VIB SPEC SHEET'!$K$85="NEMA 4X SS",IF(AND(O25&gt;'VIB SPEC SHEET'!$AL$85,AND(N25&lt;=$N$12,N25&lt;=$N$13,N25&lt;=$N$14,N25&lt;=$N$15,N25&lt;=$N$16,N25&lt;=$N$17,N25&lt;=$N$18,N25&lt;=$N$19,N25&lt;=$N$20,N25&lt;=$N$21,N25&lt;=$N$22,N25&lt;=$N$23,N25&lt;=$N$24,N25&lt;=$N$25,N25&lt;=$N$26,N25&lt;=$N$27,N25&lt;=$N$28,N25&lt;=$N$29,N25&lt;=$N$30,N25&lt;=$N$31,N25&lt;=$N$32,N25&lt;=$N$33,N25&lt;=$N$34,N25&lt;=$N$35,N25&lt;=$N$36,N25&lt;=$N$37,N25&lt;=$N$38,N25&lt;=$N$39,N25&lt;=$N$40,N25&lt;=$N$41)),CONCATENATE(P25,"&amp;"),""),"")</f>
      </c>
      <c r="N25" s="174" t="e">
        <f>IF((O25-'VIB SPEC SHEET'!$AL$85)&gt;0,O25-'VIB SPEC SHEET'!$AL$85,10^10)</f>
        <v>#VALUE!</v>
      </c>
      <c r="O25" s="231"/>
      <c r="P25" s="232"/>
      <c r="Q25" s="233"/>
      <c r="S25" s="180"/>
      <c r="T25" s="180"/>
      <c r="U25" s="190"/>
      <c r="V25" s="198"/>
    </row>
    <row r="26" spans="1:22" ht="15">
      <c r="A26" s="174">
        <f>IF('VIB SPEC SHEET'!$K$85="NEMA 12",IF(AND(C26&gt;'VIB SPEC SHEET'!$AL$85,AND(B26&lt;=$B$12,B26&lt;=$B$13,B26&lt;=$B$14,B26&lt;=$B$15,B26&lt;=$B$16,B26&lt;=$B$17,B26&lt;=$B$18,B26&lt;=$B$19,B26&lt;=$B$20,B26&lt;=$B$21,B26&lt;=$B$22,B26&lt;=$B$23,B26&lt;=$B$24,B26&lt;=$B$25,B26&lt;=$B$26,B26&lt;=$B$27,B26&lt;=$B$28,B26&lt;=$B$29,B26&lt;=$B$30,B26&lt;=$B$31,B26&lt;=$B$32,B26&lt;=$B$33,B26&lt;=$B$34,B26&lt;=$B$35,B26&lt;=$B$36,B26&lt;=$B$37,B26&lt;=$B$38,B26&lt;=$B$39,B26&lt;=$B$40,B26&lt;=$B$41)),CONCATENATE(D26,"&amp;"),""),"")</f>
      </c>
      <c r="B26" s="174" t="e">
        <f>IF((C26-'VIB SPEC SHEET'!$AL$85)&gt;0,C26-'VIB SPEC SHEET'!$AL$85,10^10)</f>
        <v>#VALUE!</v>
      </c>
      <c r="C26" s="231">
        <v>15</v>
      </c>
      <c r="D26" s="232" t="s">
        <v>83</v>
      </c>
      <c r="E26" s="233">
        <v>44559803</v>
      </c>
      <c r="F26" s="197"/>
      <c r="G26" s="174">
        <f>IF('VIB SPEC SHEET'!$K$85="NEMA 4",IF(AND(I26&gt;'VIB SPEC SHEET'!$AL$85,AND(H26&lt;=$H$12,H26&lt;=$H$13,H26&lt;=$H$14,H26&lt;=$H$15,H26&lt;=$H$16,H26&lt;=$H$17,H26&lt;=$H$18,H26&lt;=$H$19,H26&lt;=$H$20,H26&lt;=$H$21,H26&lt;=$H$22,H26&lt;=$H$23,H26&lt;=$H$24,H26&lt;=$H$25,H26&lt;=$H$26,H26&lt;=$H$27,H26&lt;=$H$28,H26&lt;=$H$29,H26&lt;=$H$30,H26&lt;=$H$31,H26&lt;=$H$32,H26&lt;=$H$33,H26&lt;=$H$34,H26&lt;=$H$35,H26&lt;=$H$36,H26&lt;=$H$37,H26&lt;=$H$38,H26&lt;=$H$39,H26&lt;=$H$40,H26&lt;=$H$41)),CONCATENATE(J26,"&amp;"),""),"")</f>
      </c>
      <c r="H26" s="174" t="e">
        <f>IF((I26-'VIB SPEC SHEET'!$AL$85)&gt;0,I26-'VIB SPEC SHEET'!$AL$85,10^10)</f>
        <v>#VALUE!</v>
      </c>
      <c r="I26" s="231"/>
      <c r="J26" s="232"/>
      <c r="K26" s="233"/>
      <c r="L26" s="197"/>
      <c r="M26" s="174">
        <f>IF('VIB SPEC SHEET'!$K$85="NEMA 4X SS",IF(AND(O26&gt;'VIB SPEC SHEET'!$AL$85,AND(N26&lt;=$N$12,N26&lt;=$N$13,N26&lt;=$N$14,N26&lt;=$N$15,N26&lt;=$N$16,N26&lt;=$N$17,N26&lt;=$N$18,N26&lt;=$N$19,N26&lt;=$N$20,N26&lt;=$N$21,N26&lt;=$N$22,N26&lt;=$N$23,N26&lt;=$N$24,N26&lt;=$N$25,N26&lt;=$N$26,N26&lt;=$N$27,N26&lt;=$N$28,N26&lt;=$N$29,N26&lt;=$N$30,N26&lt;=$N$31,N26&lt;=$N$32,N26&lt;=$N$33,N26&lt;=$N$34,N26&lt;=$N$35,N26&lt;=$N$36,N26&lt;=$N$37,N26&lt;=$N$38,N26&lt;=$N$39,N26&lt;=$N$40,N26&lt;=$N$41)),CONCATENATE(P26,"&amp;"),""),"")</f>
      </c>
      <c r="N26" s="174" t="e">
        <f>IF((O26-'VIB SPEC SHEET'!$AL$85)&gt;0,O26-'VIB SPEC SHEET'!$AL$85,10^10)</f>
        <v>#VALUE!</v>
      </c>
      <c r="O26" s="231"/>
      <c r="P26" s="232"/>
      <c r="Q26" s="233"/>
      <c r="S26" s="180"/>
      <c r="T26" s="180"/>
      <c r="U26" s="190"/>
      <c r="V26" s="198"/>
    </row>
    <row r="27" spans="1:22" ht="15">
      <c r="A27" s="174">
        <f>IF('VIB SPEC SHEET'!$K$85="NEMA 12",IF(AND(C27&gt;'VIB SPEC SHEET'!$AL$85,AND(B27&lt;=$B$12,B27&lt;=$B$13,B27&lt;=$B$14,B27&lt;=$B$15,B27&lt;=$B$16,B27&lt;=$B$17,B27&lt;=$B$18,B27&lt;=$B$19,B27&lt;=$B$20,B27&lt;=$B$21,B27&lt;=$B$22,B27&lt;=$B$23,B27&lt;=$B$24,B27&lt;=$B$25,B27&lt;=$B$26,B27&lt;=$B$27,B27&lt;=$B$28,B27&lt;=$B$29,B27&lt;=$B$30,B27&lt;=$B$31,B27&lt;=$B$32,B27&lt;=$B$33,B27&lt;=$B$34,B27&lt;=$B$35,B27&lt;=$B$36,B27&lt;=$B$37,B27&lt;=$B$38,B27&lt;=$B$39,B27&lt;=$B$40,B27&lt;=$B$41)),CONCATENATE(D27,"&amp;"),""),"")</f>
      </c>
      <c r="B27" s="174" t="e">
        <f>IF((C27-'VIB SPEC SHEET'!$AL$85)&gt;0,C27-'VIB SPEC SHEET'!$AL$85,10^10)</f>
        <v>#VALUE!</v>
      </c>
      <c r="C27" s="231"/>
      <c r="D27" s="232"/>
      <c r="E27" s="233"/>
      <c r="F27" s="197"/>
      <c r="G27" s="174">
        <f>IF('VIB SPEC SHEET'!$K$85="NEMA 4",IF(AND(I27&gt;'VIB SPEC SHEET'!$AL$85,AND(H27&lt;=$H$12,H27&lt;=$H$13,H27&lt;=$H$14,H27&lt;=$H$15,H27&lt;=$H$16,H27&lt;=$H$17,H27&lt;=$H$18,H27&lt;=$H$19,H27&lt;=$H$20,H27&lt;=$H$21,H27&lt;=$H$22,H27&lt;=$H$23,H27&lt;=$H$24,H27&lt;=$H$25,H27&lt;=$H$26,H27&lt;=$H$27,H27&lt;=$H$28,H27&lt;=$H$29,H27&lt;=$H$30,H27&lt;=$H$31,H27&lt;=$H$32,H27&lt;=$H$33,H27&lt;=$H$34,H27&lt;=$H$35,H27&lt;=$H$36,H27&lt;=$H$37,H27&lt;=$H$38,H27&lt;=$H$39,H27&lt;=$H$40,H27&lt;=$H$41)),CONCATENATE(J27,"&amp;"),""),"")</f>
      </c>
      <c r="H27" s="174" t="e">
        <f>IF((I27-'VIB SPEC SHEET'!$AL$85)&gt;0,I27-'VIB SPEC SHEET'!$AL$85,10^10)</f>
        <v>#VALUE!</v>
      </c>
      <c r="I27" s="231"/>
      <c r="J27" s="232"/>
      <c r="K27" s="233"/>
      <c r="L27" s="197"/>
      <c r="M27" s="174">
        <f>IF('VIB SPEC SHEET'!$K$85="NEMA 4X SS",IF(AND(O27&gt;'VIB SPEC SHEET'!$AL$85,AND(N27&lt;=$N$12,N27&lt;=$N$13,N27&lt;=$N$14,N27&lt;=$N$15,N27&lt;=$N$16,N27&lt;=$N$17,N27&lt;=$N$18,N27&lt;=$N$19,N27&lt;=$N$20,N27&lt;=$N$21,N27&lt;=$N$22,N27&lt;=$N$23,N27&lt;=$N$24,N27&lt;=$N$25,N27&lt;=$N$26,N27&lt;=$N$27,N27&lt;=$N$28,N27&lt;=$N$29,N27&lt;=$N$30,N27&lt;=$N$31,N27&lt;=$N$32,N27&lt;=$N$33,N27&lt;=$N$34,N27&lt;=$N$35,N27&lt;=$N$36,N27&lt;=$N$37,N27&lt;=$N$38,N27&lt;=$N$39,N27&lt;=$N$40,N27&lt;=$N$41)),CONCATENATE(P27,"&amp;"),""),"")</f>
      </c>
      <c r="N27" s="174" t="e">
        <f>IF((O27-'VIB SPEC SHEET'!$AL$85)&gt;0,O27-'VIB SPEC SHEET'!$AL$85,10^10)</f>
        <v>#VALUE!</v>
      </c>
      <c r="O27" s="231"/>
      <c r="P27" s="232"/>
      <c r="Q27" s="233"/>
      <c r="S27" s="180"/>
      <c r="T27" s="180"/>
      <c r="U27" s="190"/>
      <c r="V27" s="198"/>
    </row>
    <row r="28" spans="1:22" ht="15">
      <c r="A28" s="174">
        <f>IF('VIB SPEC SHEET'!$K$85="NEMA 12",IF(AND(C28&gt;'VIB SPEC SHEET'!$AL$85,AND(B28&lt;=$B$12,B28&lt;=$B$13,B28&lt;=$B$14,B28&lt;=$B$15,B28&lt;=$B$16,B28&lt;=$B$17,B28&lt;=$B$18,B28&lt;=$B$19,B28&lt;=$B$20,B28&lt;=$B$21,B28&lt;=$B$22,B28&lt;=$B$23,B28&lt;=$B$24,B28&lt;=$B$25,B28&lt;=$B$26,B28&lt;=$B$27,B28&lt;=$B$28,B28&lt;=$B$29,B28&lt;=$B$30,B28&lt;=$B$31,B28&lt;=$B$32,B28&lt;=$B$33,B28&lt;=$B$34,B28&lt;=$B$35,B28&lt;=$B$36,B28&lt;=$B$37,B28&lt;=$B$38,B28&lt;=$B$39,B28&lt;=$B$40,B28&lt;=$B$41)),CONCATENATE(D28,"&amp;"),""),"")</f>
      </c>
      <c r="B28" s="174" t="e">
        <f>IF((C28-'VIB SPEC SHEET'!$AL$85)&gt;0,C28-'VIB SPEC SHEET'!$AL$85,10^10)</f>
        <v>#VALUE!</v>
      </c>
      <c r="C28" s="231"/>
      <c r="D28" s="232"/>
      <c r="E28" s="233"/>
      <c r="F28" s="197"/>
      <c r="G28" s="174">
        <f>IF('VIB SPEC SHEET'!$K$85="NEMA 4",IF(AND(I28&gt;'VIB SPEC SHEET'!$AL$85,AND(H28&lt;=$H$12,H28&lt;=$H$13,H28&lt;=$H$14,H28&lt;=$H$15,H28&lt;=$H$16,H28&lt;=$H$17,H28&lt;=$H$18,H28&lt;=$H$19,H28&lt;=$H$20,H28&lt;=$H$21,H28&lt;=$H$22,H28&lt;=$H$23,H28&lt;=$H$24,H28&lt;=$H$25,H28&lt;=$H$26,H28&lt;=$H$27,H28&lt;=$H$28,H28&lt;=$H$29,H28&lt;=$H$30,H28&lt;=$H$31,H28&lt;=$H$32,H28&lt;=$H$33,H28&lt;=$H$34,H28&lt;=$H$35,H28&lt;=$H$36,H28&lt;=$H$37,H28&lt;=$H$38,H28&lt;=$H$39,H28&lt;=$H$40,H28&lt;=$H$41)),CONCATENATE(J28,"&amp;"),""),"")</f>
      </c>
      <c r="H28" s="174" t="e">
        <f>IF((I28-'VIB SPEC SHEET'!$AL$85)&gt;0,I28-'VIB SPEC SHEET'!$AL$85,10^10)</f>
        <v>#VALUE!</v>
      </c>
      <c r="I28" s="231"/>
      <c r="J28" s="232"/>
      <c r="K28" s="233"/>
      <c r="L28" s="197"/>
      <c r="M28" s="174">
        <f>IF('VIB SPEC SHEET'!$K$85="NEMA 4X SS",IF(AND(O28&gt;'VIB SPEC SHEET'!$AL$85,AND(N28&lt;=$N$12,N28&lt;=$N$13,N28&lt;=$N$14,N28&lt;=$N$15,N28&lt;=$N$16,N28&lt;=$N$17,N28&lt;=$N$18,N28&lt;=$N$19,N28&lt;=$N$20,N28&lt;=$N$21,N28&lt;=$N$22,N28&lt;=$N$23,N28&lt;=$N$24,N28&lt;=$N$25,N28&lt;=$N$26,N28&lt;=$N$27,N28&lt;=$N$28,N28&lt;=$N$29,N28&lt;=$N$30,N28&lt;=$N$31,N28&lt;=$N$32,N28&lt;=$N$33,N28&lt;=$N$34,N28&lt;=$N$35,N28&lt;=$N$36,N28&lt;=$N$37,N28&lt;=$N$38,N28&lt;=$N$39,N28&lt;=$N$40,N28&lt;=$N$41)),CONCATENATE(P28,"&amp;"),""),"")</f>
      </c>
      <c r="N28" s="174" t="e">
        <f>IF((O28-'VIB SPEC SHEET'!$AL$85)&gt;0,O28-'VIB SPEC SHEET'!$AL$85,10^10)</f>
        <v>#VALUE!</v>
      </c>
      <c r="O28" s="231"/>
      <c r="P28" s="232"/>
      <c r="Q28" s="233"/>
      <c r="S28" s="180"/>
      <c r="T28" s="180"/>
      <c r="U28" s="190"/>
      <c r="V28" s="198"/>
    </row>
    <row r="29" spans="1:22" ht="15">
      <c r="A29" s="174">
        <f>IF('VIB SPEC SHEET'!$K$85="NEMA 12",IF(AND(C29&gt;'VIB SPEC SHEET'!$AL$85,AND(B29&lt;=$B$12,B29&lt;=$B$13,B29&lt;=$B$14,B29&lt;=$B$15,B29&lt;=$B$16,B29&lt;=$B$17,B29&lt;=$B$18,B29&lt;=$B$19,B29&lt;=$B$20,B29&lt;=$B$21,B29&lt;=$B$22,B29&lt;=$B$23,B29&lt;=$B$24,B29&lt;=$B$25,B29&lt;=$B$26,B29&lt;=$B$27,B29&lt;=$B$28,B29&lt;=$B$29,B29&lt;=$B$30,B29&lt;=$B$31,B29&lt;=$B$32,B29&lt;=$B$33,B29&lt;=$B$34,B29&lt;=$B$35,B29&lt;=$B$36,B29&lt;=$B$37,B29&lt;=$B$38,B29&lt;=$B$39,B29&lt;=$B$40,B29&lt;=$B$41)),CONCATENATE(D29,"&amp;"),""),"")</f>
      </c>
      <c r="B29" s="174" t="e">
        <f>IF((C29-'VIB SPEC SHEET'!$AL$85)&gt;0,C29-'VIB SPEC SHEET'!$AL$85,10^10)</f>
        <v>#VALUE!</v>
      </c>
      <c r="C29" s="231"/>
      <c r="D29" s="232"/>
      <c r="E29" s="233"/>
      <c r="F29" s="197"/>
      <c r="G29" s="174">
        <f>IF('VIB SPEC SHEET'!$K$85="NEMA 4",IF(AND(I29&gt;'VIB SPEC SHEET'!$AL$85,AND(H29&lt;=$H$12,H29&lt;=$H$13,H29&lt;=$H$14,H29&lt;=$H$15,H29&lt;=$H$16,H29&lt;=$H$17,H29&lt;=$H$18,H29&lt;=$H$19,H29&lt;=$H$20,H29&lt;=$H$21,H29&lt;=$H$22,H29&lt;=$H$23,H29&lt;=$H$24,H29&lt;=$H$25,H29&lt;=$H$26,H29&lt;=$H$27,H29&lt;=$H$28,H29&lt;=$H$29,H29&lt;=$H$30,H29&lt;=$H$31,H29&lt;=$H$32,H29&lt;=$H$33,H29&lt;=$H$34,H29&lt;=$H$35,H29&lt;=$H$36,H29&lt;=$H$37,H29&lt;=$H$38,H29&lt;=$H$39,H29&lt;=$H$40,H29&lt;=$H$41)),CONCATENATE(J29,"&amp;"),""),"")</f>
      </c>
      <c r="H29" s="174" t="e">
        <f>IF((I29-'VIB SPEC SHEET'!$AL$85)&gt;0,I29-'VIB SPEC SHEET'!$AL$85,10^10)</f>
        <v>#VALUE!</v>
      </c>
      <c r="I29" s="231"/>
      <c r="J29" s="232"/>
      <c r="K29" s="233"/>
      <c r="L29" s="197"/>
      <c r="M29" s="174">
        <f>IF('VIB SPEC SHEET'!$K$85="NEMA 4X SS",IF(AND(O29&gt;'VIB SPEC SHEET'!$AL$85,AND(N29&lt;=$N$12,N29&lt;=$N$13,N29&lt;=$N$14,N29&lt;=$N$15,N29&lt;=$N$16,N29&lt;=$N$17,N29&lt;=$N$18,N29&lt;=$N$19,N29&lt;=$N$20,N29&lt;=$N$21,N29&lt;=$N$22,N29&lt;=$N$23,N29&lt;=$N$24,N29&lt;=$N$25,N29&lt;=$N$26,N29&lt;=$N$27,N29&lt;=$N$28,N29&lt;=$N$29,N29&lt;=$N$30,N29&lt;=$N$31,N29&lt;=$N$32,N29&lt;=$N$33,N29&lt;=$N$34,N29&lt;=$N$35,N29&lt;=$N$36,N29&lt;=$N$37,N29&lt;=$N$38,N29&lt;=$N$39,N29&lt;=$N$40,N29&lt;=$N$41)),CONCATENATE(P29,"&amp;"),""),"")</f>
      </c>
      <c r="N29" s="174" t="e">
        <f>IF((O29-'VIB SPEC SHEET'!$AL$85)&gt;0,O29-'VIB SPEC SHEET'!$AL$85,10^10)</f>
        <v>#VALUE!</v>
      </c>
      <c r="O29" s="231"/>
      <c r="P29" s="232"/>
      <c r="Q29" s="233"/>
      <c r="S29" s="180"/>
      <c r="T29" s="180"/>
      <c r="U29" s="190"/>
      <c r="V29" s="198"/>
    </row>
    <row r="30" spans="1:22" ht="15">
      <c r="A30" s="174">
        <f>IF('VIB SPEC SHEET'!$K$85="NEMA 12",IF(AND(C30&gt;'VIB SPEC SHEET'!$AL$85,AND(B30&lt;=$B$12,B30&lt;=$B$13,B30&lt;=$B$14,B30&lt;=$B$15,B30&lt;=$B$16,B30&lt;=$B$17,B30&lt;=$B$18,B30&lt;=$B$19,B30&lt;=$B$20,B30&lt;=$B$21,B30&lt;=$B$22,B30&lt;=$B$23,B30&lt;=$B$24,B30&lt;=$B$25,B30&lt;=$B$26,B30&lt;=$B$27,B30&lt;=$B$28,B30&lt;=$B$29,B30&lt;=$B$30,B30&lt;=$B$31,B30&lt;=$B$32,B30&lt;=$B$33,B30&lt;=$B$34,B30&lt;=$B$35,B30&lt;=$B$36,B30&lt;=$B$37,B30&lt;=$B$38,B30&lt;=$B$39,B30&lt;=$B$40,B30&lt;=$B$41)),CONCATENATE(D30,"&amp;"),""),"")</f>
      </c>
      <c r="B30" s="174" t="e">
        <f>IF((C30-'VIB SPEC SHEET'!$AL$85)&gt;0,C30-'VIB SPEC SHEET'!$AL$85,10^10)</f>
        <v>#VALUE!</v>
      </c>
      <c r="C30" s="231"/>
      <c r="D30" s="232"/>
      <c r="E30" s="233"/>
      <c r="F30" s="197"/>
      <c r="G30" s="174">
        <f>IF('VIB SPEC SHEET'!$K$85="NEMA 4",IF(AND(I30&gt;'VIB SPEC SHEET'!$AL$85,AND(H30&lt;=$H$12,H30&lt;=$H$13,H30&lt;=$H$14,H30&lt;=$H$15,H30&lt;=$H$16,H30&lt;=$H$17,H30&lt;=$H$18,H30&lt;=$H$19,H30&lt;=$H$20,H30&lt;=$H$21,H30&lt;=$H$22,H30&lt;=$H$23,H30&lt;=$H$24,H30&lt;=$H$25,H30&lt;=$H$26,H30&lt;=$H$27,H30&lt;=$H$28,H30&lt;=$H$29,H30&lt;=$H$30,H30&lt;=$H$31,H30&lt;=$H$32,H30&lt;=$H$33,H30&lt;=$H$34,H30&lt;=$H$35,H30&lt;=$H$36,H30&lt;=$H$37,H30&lt;=$H$38,H30&lt;=$H$39,H30&lt;=$H$40,H30&lt;=$H$41)),CONCATENATE(J30,"&amp;"),""),"")</f>
      </c>
      <c r="H30" s="174" t="e">
        <f>IF((I30-'VIB SPEC SHEET'!$AL$85)&gt;0,I30-'VIB SPEC SHEET'!$AL$85,10^10)</f>
        <v>#VALUE!</v>
      </c>
      <c r="I30" s="231"/>
      <c r="J30" s="232"/>
      <c r="K30" s="233"/>
      <c r="L30" s="197"/>
      <c r="M30" s="174">
        <f>IF('VIB SPEC SHEET'!$K$85="NEMA 4X SS",IF(AND(O30&gt;'VIB SPEC SHEET'!$AL$85,AND(N30&lt;=$N$12,N30&lt;=$N$13,N30&lt;=$N$14,N30&lt;=$N$15,N30&lt;=$N$16,N30&lt;=$N$17,N30&lt;=$N$18,N30&lt;=$N$19,N30&lt;=$N$20,N30&lt;=$N$21,N30&lt;=$N$22,N30&lt;=$N$23,N30&lt;=$N$24,N30&lt;=$N$25,N30&lt;=$N$26,N30&lt;=$N$27,N30&lt;=$N$28,N30&lt;=$N$29,N30&lt;=$N$30,N30&lt;=$N$31,N30&lt;=$N$32,N30&lt;=$N$33,N30&lt;=$N$34,N30&lt;=$N$35,N30&lt;=$N$36,N30&lt;=$N$37,N30&lt;=$N$38,N30&lt;=$N$39,N30&lt;=$N$40,N30&lt;=$N$41)),CONCATENATE(P30,"&amp;"),""),"")</f>
      </c>
      <c r="N30" s="174" t="e">
        <f>IF((O30-'VIB SPEC SHEET'!$AL$85)&gt;0,O30-'VIB SPEC SHEET'!$AL$85,10^10)</f>
        <v>#VALUE!</v>
      </c>
      <c r="O30" s="231"/>
      <c r="P30" s="232"/>
      <c r="Q30" s="233"/>
      <c r="S30" s="180"/>
      <c r="T30" s="180"/>
      <c r="U30" s="190"/>
      <c r="V30" s="198"/>
    </row>
    <row r="31" spans="1:22" ht="15">
      <c r="A31" s="174">
        <f>IF('VIB SPEC SHEET'!$K$85="NEMA 12",IF(AND(C31&gt;'VIB SPEC SHEET'!$AL$85,AND(B31&lt;=$B$12,B31&lt;=$B$13,B31&lt;=$B$14,B31&lt;=$B$15,B31&lt;=$B$16,B31&lt;=$B$17,B31&lt;=$B$18,B31&lt;=$B$19,B31&lt;=$B$20,B31&lt;=$B$21,B31&lt;=$B$22,B31&lt;=$B$23,B31&lt;=$B$24,B31&lt;=$B$25,B31&lt;=$B$26,B31&lt;=$B$27,B31&lt;=$B$28,B31&lt;=$B$29,B31&lt;=$B$30,B31&lt;=$B$31,B31&lt;=$B$32,B31&lt;=$B$33,B31&lt;=$B$34,B31&lt;=$B$35,B31&lt;=$B$36,B31&lt;=$B$37,B31&lt;=$B$38,B31&lt;=$B$39,B31&lt;=$B$40,B31&lt;=$B$41)),CONCATENATE(D31,"&amp;"),""),"")</f>
      </c>
      <c r="B31" s="174" t="e">
        <f>IF((C31-'VIB SPEC SHEET'!$AL$85)&gt;0,C31-'VIB SPEC SHEET'!$AL$85,10^10)</f>
        <v>#VALUE!</v>
      </c>
      <c r="C31" s="231"/>
      <c r="D31" s="232"/>
      <c r="E31" s="233"/>
      <c r="F31" s="197"/>
      <c r="G31" s="174">
        <f>IF('VIB SPEC SHEET'!$K$85="NEMA 4",IF(AND(I31&gt;'VIB SPEC SHEET'!$AL$85,AND(H31&lt;=$H$12,H31&lt;=$H$13,H31&lt;=$H$14,H31&lt;=$H$15,H31&lt;=$H$16,H31&lt;=$H$17,H31&lt;=$H$18,H31&lt;=$H$19,H31&lt;=$H$20,H31&lt;=$H$21,H31&lt;=$H$22,H31&lt;=$H$23,H31&lt;=$H$24,H31&lt;=$H$25,H31&lt;=$H$26,H31&lt;=$H$27,H31&lt;=$H$28,H31&lt;=$H$29,H31&lt;=$H$30,H31&lt;=$H$31,H31&lt;=$H$32,H31&lt;=$H$33,H31&lt;=$H$34,H31&lt;=$H$35,H31&lt;=$H$36,H31&lt;=$H$37,H31&lt;=$H$38,H31&lt;=$H$39,H31&lt;=$H$40,H31&lt;=$H$41)),CONCATENATE(J31,"&amp;"),""),"")</f>
      </c>
      <c r="H31" s="174" t="e">
        <f>IF((I31-'VIB SPEC SHEET'!$AL$85)&gt;0,I31-'VIB SPEC SHEET'!$AL$85,10^10)</f>
        <v>#VALUE!</v>
      </c>
      <c r="I31" s="231"/>
      <c r="J31" s="232"/>
      <c r="K31" s="233"/>
      <c r="L31" s="197"/>
      <c r="M31" s="174">
        <f>IF('VIB SPEC SHEET'!$K$85="NEMA 4X SS",IF(AND(O31&gt;'VIB SPEC SHEET'!$AL$85,AND(N31&lt;=$N$12,N31&lt;=$N$13,N31&lt;=$N$14,N31&lt;=$N$15,N31&lt;=$N$16,N31&lt;=$N$17,N31&lt;=$N$18,N31&lt;=$N$19,N31&lt;=$N$20,N31&lt;=$N$21,N31&lt;=$N$22,N31&lt;=$N$23,N31&lt;=$N$24,N31&lt;=$N$25,N31&lt;=$N$26,N31&lt;=$N$27,N31&lt;=$N$28,N31&lt;=$N$29,N31&lt;=$N$30,N31&lt;=$N$31,N31&lt;=$N$32,N31&lt;=$N$33,N31&lt;=$N$34,N31&lt;=$N$35,N31&lt;=$N$36,N31&lt;=$N$37,N31&lt;=$N$38,N31&lt;=$N$39,N31&lt;=$N$40,N31&lt;=$N$41)),CONCATENATE(P31,"&amp;"),""),"")</f>
      </c>
      <c r="N31" s="174" t="e">
        <f>IF((O31-'VIB SPEC SHEET'!$AL$85)&gt;0,O31-'VIB SPEC SHEET'!$AL$85,10^10)</f>
        <v>#VALUE!</v>
      </c>
      <c r="O31" s="231"/>
      <c r="P31" s="232"/>
      <c r="Q31" s="233"/>
      <c r="S31" s="180"/>
      <c r="T31" s="180"/>
      <c r="U31" s="190"/>
      <c r="V31" s="198"/>
    </row>
    <row r="32" spans="1:22" ht="15">
      <c r="A32" s="174">
        <f>IF('VIB SPEC SHEET'!$K$85="NEMA 12",IF(AND(C32&gt;'VIB SPEC SHEET'!$AL$85,AND(B32&lt;=$B$12,B32&lt;=$B$13,B32&lt;=$B$14,B32&lt;=$B$15,B32&lt;=$B$16,B32&lt;=$B$17,B32&lt;=$B$18,B32&lt;=$B$19,B32&lt;=$B$20,B32&lt;=$B$21,B32&lt;=$B$22,B32&lt;=$B$23,B32&lt;=$B$24,B32&lt;=$B$25,B32&lt;=$B$26,B32&lt;=$B$27,B32&lt;=$B$28,B32&lt;=$B$29,B32&lt;=$B$30,B32&lt;=$B$31,B32&lt;=$B$32,B32&lt;=$B$33,B32&lt;=$B$34,B32&lt;=$B$35,B32&lt;=$B$36,B32&lt;=$B$37,B32&lt;=$B$38,B32&lt;=$B$39,B32&lt;=$B$40,B32&lt;=$B$41)),CONCATENATE(D32,"&amp;"),""),"")</f>
      </c>
      <c r="B32" s="174" t="e">
        <f>IF((C32-'VIB SPEC SHEET'!$AL$85)&gt;0,C32-'VIB SPEC SHEET'!$AL$85,10^10)</f>
        <v>#VALUE!</v>
      </c>
      <c r="C32" s="231"/>
      <c r="D32" s="232"/>
      <c r="E32" s="233"/>
      <c r="F32" s="197"/>
      <c r="G32" s="174">
        <f>IF('VIB SPEC SHEET'!$K$85="NEMA 4",IF(AND(I32&gt;'VIB SPEC SHEET'!$AL$85,AND(H32&lt;=$H$12,H32&lt;=$H$13,H32&lt;=$H$14,H32&lt;=$H$15,H32&lt;=$H$16,H32&lt;=$H$17,H32&lt;=$H$18,H32&lt;=$H$19,H32&lt;=$H$20,H32&lt;=$H$21,H32&lt;=$H$22,H32&lt;=$H$23,H32&lt;=$H$24,H32&lt;=$H$25,H32&lt;=$H$26,H32&lt;=$H$27,H32&lt;=$H$28,H32&lt;=$H$29,H32&lt;=$H$30,H32&lt;=$H$31,H32&lt;=$H$32,H32&lt;=$H$33,H32&lt;=$H$34,H32&lt;=$H$35,H32&lt;=$H$36,H32&lt;=$H$37,H32&lt;=$H$38,H32&lt;=$H$39,H32&lt;=$H$40,H32&lt;=$H$41)),CONCATENATE(J32,"&amp;"),""),"")</f>
      </c>
      <c r="H32" s="174" t="e">
        <f>IF((I32-'VIB SPEC SHEET'!$AL$85)&gt;0,I32-'VIB SPEC SHEET'!$AL$85,10^10)</f>
        <v>#VALUE!</v>
      </c>
      <c r="I32" s="231"/>
      <c r="J32" s="232"/>
      <c r="K32" s="233"/>
      <c r="L32" s="197"/>
      <c r="M32" s="174">
        <f>IF('VIB SPEC SHEET'!$K$85="NEMA 4X SS",IF(AND(O32&gt;'VIB SPEC SHEET'!$AL$85,AND(N32&lt;=$N$12,N32&lt;=$N$13,N32&lt;=$N$14,N32&lt;=$N$15,N32&lt;=$N$16,N32&lt;=$N$17,N32&lt;=$N$18,N32&lt;=$N$19,N32&lt;=$N$20,N32&lt;=$N$21,N32&lt;=$N$22,N32&lt;=$N$23,N32&lt;=$N$24,N32&lt;=$N$25,N32&lt;=$N$26,N32&lt;=$N$27,N32&lt;=$N$28,N32&lt;=$N$29,N32&lt;=$N$30,N32&lt;=$N$31,N32&lt;=$N$32,N32&lt;=$N$33,N32&lt;=$N$34,N32&lt;=$N$35,N32&lt;=$N$36,N32&lt;=$N$37,N32&lt;=$N$38,N32&lt;=$N$39,N32&lt;=$N$40,N32&lt;=$N$41)),CONCATENATE(P32,"&amp;"),""),"")</f>
      </c>
      <c r="N32" s="174" t="e">
        <f>IF((O32-'VIB SPEC SHEET'!$AL$85)&gt;0,O32-'VIB SPEC SHEET'!$AL$85,10^10)</f>
        <v>#VALUE!</v>
      </c>
      <c r="O32" s="231"/>
      <c r="P32" s="232"/>
      <c r="Q32" s="233"/>
      <c r="S32" s="180"/>
      <c r="T32" s="180"/>
      <c r="U32" s="190"/>
      <c r="V32" s="198"/>
    </row>
    <row r="33" spans="1:22" ht="15">
      <c r="A33" s="174">
        <f>IF('VIB SPEC SHEET'!$K$85="NEMA 12",IF(AND(C33&gt;'VIB SPEC SHEET'!$AL$85,AND(B33&lt;=$B$12,B33&lt;=$B$13,B33&lt;=$B$14,B33&lt;=$B$15,B33&lt;=$B$16,B33&lt;=$B$17,B33&lt;=$B$18,B33&lt;=$B$19,B33&lt;=$B$20,B33&lt;=$B$21,B33&lt;=$B$22,B33&lt;=$B$23,B33&lt;=$B$24,B33&lt;=$B$25,B33&lt;=$B$26,B33&lt;=$B$27,B33&lt;=$B$28,B33&lt;=$B$29,B33&lt;=$B$30,B33&lt;=$B$31,B33&lt;=$B$32,B33&lt;=$B$33,B33&lt;=$B$34,B33&lt;=$B$35,B33&lt;=$B$36,B33&lt;=$B$37,B33&lt;=$B$38,B33&lt;=$B$39,B33&lt;=$B$40,B33&lt;=$B$41)),CONCATENATE(D33,"&amp;"),""),"")</f>
      </c>
      <c r="B33" s="174" t="e">
        <f>IF((C33-'VIB SPEC SHEET'!$AL$85)&gt;0,C33-'VIB SPEC SHEET'!$AL$85,10^10)</f>
        <v>#VALUE!</v>
      </c>
      <c r="C33" s="231"/>
      <c r="D33" s="232"/>
      <c r="E33" s="233"/>
      <c r="F33" s="197"/>
      <c r="G33" s="174">
        <f>IF('VIB SPEC SHEET'!$K$85="NEMA 4",IF(AND(I33&gt;'VIB SPEC SHEET'!$AL$85,AND(H33&lt;=$H$12,H33&lt;=$H$13,H33&lt;=$H$14,H33&lt;=$H$15,H33&lt;=$H$16,H33&lt;=$H$17,H33&lt;=$H$18,H33&lt;=$H$19,H33&lt;=$H$20,H33&lt;=$H$21,H33&lt;=$H$22,H33&lt;=$H$23,H33&lt;=$H$24,H33&lt;=$H$25,H33&lt;=$H$26,H33&lt;=$H$27,H33&lt;=$H$28,H33&lt;=$H$29,H33&lt;=$H$30,H33&lt;=$H$31,H33&lt;=$H$32,H33&lt;=$H$33,H33&lt;=$H$34,H33&lt;=$H$35,H33&lt;=$H$36,H33&lt;=$H$37,H33&lt;=$H$38,H33&lt;=$H$39,H33&lt;=$H$40,H33&lt;=$H$41)),CONCATENATE(J33,"&amp;"),""),"")</f>
      </c>
      <c r="H33" s="174" t="e">
        <f>IF((I33-'VIB SPEC SHEET'!$AL$85)&gt;0,I33-'VIB SPEC SHEET'!$AL$85,10^10)</f>
        <v>#VALUE!</v>
      </c>
      <c r="I33" s="231"/>
      <c r="J33" s="232"/>
      <c r="K33" s="233"/>
      <c r="L33" s="197"/>
      <c r="M33" s="174">
        <f>IF('VIB SPEC SHEET'!$K$85="NEMA 4X SS",IF(AND(O33&gt;'VIB SPEC SHEET'!$AL$85,AND(N33&lt;=$N$12,N33&lt;=$N$13,N33&lt;=$N$14,N33&lt;=$N$15,N33&lt;=$N$16,N33&lt;=$N$17,N33&lt;=$N$18,N33&lt;=$N$19,N33&lt;=$N$20,N33&lt;=$N$21,N33&lt;=$N$22,N33&lt;=$N$23,N33&lt;=$N$24,N33&lt;=$N$25,N33&lt;=$N$26,N33&lt;=$N$27,N33&lt;=$N$28,N33&lt;=$N$29,N33&lt;=$N$30,N33&lt;=$N$31,N33&lt;=$N$32,N33&lt;=$N$33,N33&lt;=$N$34,N33&lt;=$N$35,N33&lt;=$N$36,N33&lt;=$N$37,N33&lt;=$N$38,N33&lt;=$N$39,N33&lt;=$N$40,N33&lt;=$N$41)),CONCATENATE(P33,"&amp;"),""),"")</f>
      </c>
      <c r="N33" s="174" t="e">
        <f>IF((O33-'VIB SPEC SHEET'!$AL$85)&gt;0,O33-'VIB SPEC SHEET'!$AL$85,10^10)</f>
        <v>#VALUE!</v>
      </c>
      <c r="O33" s="231"/>
      <c r="P33" s="232"/>
      <c r="Q33" s="233"/>
      <c r="S33" s="180"/>
      <c r="T33" s="180"/>
      <c r="U33" s="190"/>
      <c r="V33" s="198"/>
    </row>
    <row r="34" spans="1:22" ht="15">
      <c r="A34" s="174">
        <f>IF('VIB SPEC SHEET'!$K$85="NEMA 12",IF(AND(C34&gt;'VIB SPEC SHEET'!$AL$85,AND(B34&lt;=$B$12,B34&lt;=$B$13,B34&lt;=$B$14,B34&lt;=$B$15,B34&lt;=$B$16,B34&lt;=$B$17,B34&lt;=$B$18,B34&lt;=$B$19,B34&lt;=$B$20,B34&lt;=$B$21,B34&lt;=$B$22,B34&lt;=$B$23,B34&lt;=$B$24,B34&lt;=$B$25,B34&lt;=$B$26,B34&lt;=$B$27,B34&lt;=$B$28,B34&lt;=$B$29,B34&lt;=$B$30,B34&lt;=$B$31,B34&lt;=$B$32,B34&lt;=$B$33,B34&lt;=$B$34,B34&lt;=$B$35,B34&lt;=$B$36,B34&lt;=$B$37,B34&lt;=$B$38,B34&lt;=$B$39,B34&lt;=$B$40,B34&lt;=$B$41)),CONCATENATE(D34,"&amp;"),""),"")</f>
      </c>
      <c r="B34" s="174" t="e">
        <f>IF((C34-'VIB SPEC SHEET'!$AL$85)&gt;0,C34-'VIB SPEC SHEET'!$AL$85,10^10)</f>
        <v>#VALUE!</v>
      </c>
      <c r="C34" s="231"/>
      <c r="D34" s="232"/>
      <c r="E34" s="233"/>
      <c r="F34" s="197"/>
      <c r="G34" s="174">
        <f>IF('VIB SPEC SHEET'!$K$85="NEMA 4",IF(AND(I34&gt;'VIB SPEC SHEET'!$AL$85,AND(H34&lt;=$H$12,H34&lt;=$H$13,H34&lt;=$H$14,H34&lt;=$H$15,H34&lt;=$H$16,H34&lt;=$H$17,H34&lt;=$H$18,H34&lt;=$H$19,H34&lt;=$H$20,H34&lt;=$H$21,H34&lt;=$H$22,H34&lt;=$H$23,H34&lt;=$H$24,H34&lt;=$H$25,H34&lt;=$H$26,H34&lt;=$H$27,H34&lt;=$H$28,H34&lt;=$H$29,H34&lt;=$H$30,H34&lt;=$H$31,H34&lt;=$H$32,H34&lt;=$H$33,H34&lt;=$H$34,H34&lt;=$H$35,H34&lt;=$H$36,H34&lt;=$H$37,H34&lt;=$H$38,H34&lt;=$H$39,H34&lt;=$H$40,H34&lt;=$H$41)),CONCATENATE(J34,"&amp;"),""),"")</f>
      </c>
      <c r="H34" s="174" t="e">
        <f>IF((I34-'VIB SPEC SHEET'!$AL$85)&gt;0,I34-'VIB SPEC SHEET'!$AL$85,10^10)</f>
        <v>#VALUE!</v>
      </c>
      <c r="I34" s="231"/>
      <c r="J34" s="232"/>
      <c r="K34" s="233"/>
      <c r="L34" s="197"/>
      <c r="M34" s="174">
        <f>IF('VIB SPEC SHEET'!$K$85="NEMA 4X SS",IF(AND(O34&gt;'VIB SPEC SHEET'!$AL$85,AND(N34&lt;=$N$12,N34&lt;=$N$13,N34&lt;=$N$14,N34&lt;=$N$15,N34&lt;=$N$16,N34&lt;=$N$17,N34&lt;=$N$18,N34&lt;=$N$19,N34&lt;=$N$20,N34&lt;=$N$21,N34&lt;=$N$22,N34&lt;=$N$23,N34&lt;=$N$24,N34&lt;=$N$25,N34&lt;=$N$26,N34&lt;=$N$27,N34&lt;=$N$28,N34&lt;=$N$29,N34&lt;=$N$30,N34&lt;=$N$31,N34&lt;=$N$32,N34&lt;=$N$33,N34&lt;=$N$34,N34&lt;=$N$35,N34&lt;=$N$36,N34&lt;=$N$37,N34&lt;=$N$38,N34&lt;=$N$39,N34&lt;=$N$40,N34&lt;=$N$41)),CONCATENATE(P34,"&amp;"),""),"")</f>
      </c>
      <c r="N34" s="174" t="e">
        <f>IF((O34-'VIB SPEC SHEET'!$AL$85)&gt;0,O34-'VIB SPEC SHEET'!$AL$85,10^10)</f>
        <v>#VALUE!</v>
      </c>
      <c r="O34" s="231"/>
      <c r="P34" s="232"/>
      <c r="Q34" s="233"/>
      <c r="S34" s="180"/>
      <c r="T34" s="180"/>
      <c r="U34" s="190"/>
      <c r="V34" s="198"/>
    </row>
    <row r="35" spans="1:22" ht="15">
      <c r="A35" s="174">
        <f>IF('VIB SPEC SHEET'!$K$85="NEMA 12",IF(AND(C35&gt;'VIB SPEC SHEET'!$AL$85,AND(B35&lt;=$B$12,B35&lt;=$B$13,B35&lt;=$B$14,B35&lt;=$B$15,B35&lt;=$B$16,B35&lt;=$B$17,B35&lt;=$B$18,B35&lt;=$B$19,B35&lt;=$B$20,B35&lt;=$B$21,B35&lt;=$B$22,B35&lt;=$B$23,B35&lt;=$B$24,B35&lt;=$B$25,B35&lt;=$B$26,B35&lt;=$B$27,B35&lt;=$B$28,B35&lt;=$B$29,B35&lt;=$B$30,B35&lt;=$B$31,B35&lt;=$B$32,B35&lt;=$B$33,B35&lt;=$B$34,B35&lt;=$B$35,B35&lt;=$B$36,B35&lt;=$B$37,B35&lt;=$B$38,B35&lt;=$B$39,B35&lt;=$B$40,B35&lt;=$B$41)),CONCATENATE(D35,"&amp;"),""),"")</f>
      </c>
      <c r="B35" s="174" t="e">
        <f>IF((C35-'VIB SPEC SHEET'!$AL$85)&gt;0,C35-'VIB SPEC SHEET'!$AL$85,10^10)</f>
        <v>#VALUE!</v>
      </c>
      <c r="C35" s="231"/>
      <c r="D35" s="232"/>
      <c r="E35" s="233"/>
      <c r="F35" s="197"/>
      <c r="G35" s="174">
        <f>IF('VIB SPEC SHEET'!$K$85="NEMA 4",IF(AND(I35&gt;'VIB SPEC SHEET'!$AL$85,AND(H35&lt;=$H$12,H35&lt;=$H$13,H35&lt;=$H$14,H35&lt;=$H$15,H35&lt;=$H$16,H35&lt;=$H$17,H35&lt;=$H$18,H35&lt;=$H$19,H35&lt;=$H$20,H35&lt;=$H$21,H35&lt;=$H$22,H35&lt;=$H$23,H35&lt;=$H$24,H35&lt;=$H$25,H35&lt;=$H$26,H35&lt;=$H$27,H35&lt;=$H$28,H35&lt;=$H$29,H35&lt;=$H$30,H35&lt;=$H$31,H35&lt;=$H$32,H35&lt;=$H$33,H35&lt;=$H$34,H35&lt;=$H$35,H35&lt;=$H$36,H35&lt;=$H$37,H35&lt;=$H$38,H35&lt;=$H$39,H35&lt;=$H$40,H35&lt;=$H$41)),CONCATENATE(J35,"&amp;"),""),"")</f>
      </c>
      <c r="H35" s="174" t="e">
        <f>IF((I35-'VIB SPEC SHEET'!$AL$85)&gt;0,I35-'VIB SPEC SHEET'!$AL$85,10^10)</f>
        <v>#VALUE!</v>
      </c>
      <c r="I35" s="231"/>
      <c r="J35" s="232"/>
      <c r="K35" s="233"/>
      <c r="L35" s="197"/>
      <c r="M35" s="174">
        <f>IF('VIB SPEC SHEET'!$K$85="NEMA 4X SS",IF(AND(O35&gt;'VIB SPEC SHEET'!$AL$85,AND(N35&lt;=$N$12,N35&lt;=$N$13,N35&lt;=$N$14,N35&lt;=$N$15,N35&lt;=$N$16,N35&lt;=$N$17,N35&lt;=$N$18,N35&lt;=$N$19,N35&lt;=$N$20,N35&lt;=$N$21,N35&lt;=$N$22,N35&lt;=$N$23,N35&lt;=$N$24,N35&lt;=$N$25,N35&lt;=$N$26,N35&lt;=$N$27,N35&lt;=$N$28,N35&lt;=$N$29,N35&lt;=$N$30,N35&lt;=$N$31,N35&lt;=$N$32,N35&lt;=$N$33,N35&lt;=$N$34,N35&lt;=$N$35,N35&lt;=$N$36,N35&lt;=$N$37,N35&lt;=$N$38,N35&lt;=$N$39,N35&lt;=$N$40,N35&lt;=$N$41)),CONCATENATE(P35,"&amp;"),""),"")</f>
      </c>
      <c r="N35" s="174" t="e">
        <f>IF((O35-'VIB SPEC SHEET'!$AL$85)&gt;0,O35-'VIB SPEC SHEET'!$AL$85,10^10)</f>
        <v>#VALUE!</v>
      </c>
      <c r="O35" s="231"/>
      <c r="P35" s="232"/>
      <c r="Q35" s="233"/>
      <c r="S35" s="180"/>
      <c r="T35" s="180"/>
      <c r="U35" s="190"/>
      <c r="V35" s="198"/>
    </row>
    <row r="36" spans="1:22" ht="15">
      <c r="A36" s="174">
        <f>IF('VIB SPEC SHEET'!$K$85="NEMA 12",IF(AND(C36&gt;'VIB SPEC SHEET'!$AL$85,AND(B36&lt;=$B$12,B36&lt;=$B$13,B36&lt;=$B$14,B36&lt;=$B$15,B36&lt;=$B$16,B36&lt;=$B$17,B36&lt;=$B$18,B36&lt;=$B$19,B36&lt;=$B$20,B36&lt;=$B$21,B36&lt;=$B$22,B36&lt;=$B$23,B36&lt;=$B$24,B36&lt;=$B$25,B36&lt;=$B$26,B36&lt;=$B$27,B36&lt;=$B$28,B36&lt;=$B$29,B36&lt;=$B$30,B36&lt;=$B$31,B36&lt;=$B$32,B36&lt;=$B$33,B36&lt;=$B$34,B36&lt;=$B$35,B36&lt;=$B$36,B36&lt;=$B$37,B36&lt;=$B$38,B36&lt;=$B$39,B36&lt;=$B$40,B36&lt;=$B$41)),CONCATENATE(D36,"&amp;"),""),"")</f>
      </c>
      <c r="B36" s="174" t="e">
        <f>IF((C36-'VIB SPEC SHEET'!$AL$85)&gt;0,C36-'VIB SPEC SHEET'!$AL$85,10^10)</f>
        <v>#VALUE!</v>
      </c>
      <c r="C36" s="231"/>
      <c r="D36" s="232"/>
      <c r="E36" s="233"/>
      <c r="F36" s="197"/>
      <c r="G36" s="174">
        <f>IF('VIB SPEC SHEET'!$K$85="NEMA 4",IF(AND(I36&gt;'VIB SPEC SHEET'!$AL$85,AND(H36&lt;=$H$12,H36&lt;=$H$13,H36&lt;=$H$14,H36&lt;=$H$15,H36&lt;=$H$16,H36&lt;=$H$17,H36&lt;=$H$18,H36&lt;=$H$19,H36&lt;=$H$20,H36&lt;=$H$21,H36&lt;=$H$22,H36&lt;=$H$23,H36&lt;=$H$24,H36&lt;=$H$25,H36&lt;=$H$26,H36&lt;=$H$27,H36&lt;=$H$28,H36&lt;=$H$29,H36&lt;=$H$30,H36&lt;=$H$31,H36&lt;=$H$32,H36&lt;=$H$33,H36&lt;=$H$34,H36&lt;=$H$35,H36&lt;=$H$36,H36&lt;=$H$37,H36&lt;=$H$38,H36&lt;=$H$39,H36&lt;=$H$40,H36&lt;=$H$41)),CONCATENATE(J36,"&amp;"),""),"")</f>
      </c>
      <c r="H36" s="174" t="e">
        <f>IF((I36-'VIB SPEC SHEET'!$AL$85)&gt;0,I36-'VIB SPEC SHEET'!$AL$85,10^10)</f>
        <v>#VALUE!</v>
      </c>
      <c r="I36" s="231"/>
      <c r="J36" s="232"/>
      <c r="K36" s="233"/>
      <c r="L36" s="197"/>
      <c r="M36" s="174">
        <f>IF('VIB SPEC SHEET'!$K$85="NEMA 4X SS",IF(AND(O36&gt;'VIB SPEC SHEET'!$AL$85,AND(N36&lt;=$N$12,N36&lt;=$N$13,N36&lt;=$N$14,N36&lt;=$N$15,N36&lt;=$N$16,N36&lt;=$N$17,N36&lt;=$N$18,N36&lt;=$N$19,N36&lt;=$N$20,N36&lt;=$N$21,N36&lt;=$N$22,N36&lt;=$N$23,N36&lt;=$N$24,N36&lt;=$N$25,N36&lt;=$N$26,N36&lt;=$N$27,N36&lt;=$N$28,N36&lt;=$N$29,N36&lt;=$N$30,N36&lt;=$N$31,N36&lt;=$N$32,N36&lt;=$N$33,N36&lt;=$N$34,N36&lt;=$N$35,N36&lt;=$N$36,N36&lt;=$N$37,N36&lt;=$N$38,N36&lt;=$N$39,N36&lt;=$N$40,N36&lt;=$N$41)),CONCATENATE(P36,"&amp;"),""),"")</f>
      </c>
      <c r="N36" s="174" t="e">
        <f>IF((O36-'VIB SPEC SHEET'!$AL$85)&gt;0,O36-'VIB SPEC SHEET'!$AL$85,10^10)</f>
        <v>#VALUE!</v>
      </c>
      <c r="O36" s="231"/>
      <c r="P36" s="232"/>
      <c r="Q36" s="233"/>
      <c r="S36" s="180"/>
      <c r="T36" s="180"/>
      <c r="U36" s="190"/>
      <c r="V36" s="198"/>
    </row>
    <row r="37" spans="1:22" ht="15">
      <c r="A37" s="174">
        <f>IF('VIB SPEC SHEET'!$K$85="NEMA 12",IF(AND(C37&gt;'VIB SPEC SHEET'!$AL$85,AND(B37&lt;=$B$12,B37&lt;=$B$13,B37&lt;=$B$14,B37&lt;=$B$15,B37&lt;=$B$16,B37&lt;=$B$17,B37&lt;=$B$18,B37&lt;=$B$19,B37&lt;=$B$20,B37&lt;=$B$21,B37&lt;=$B$22,B37&lt;=$B$23,B37&lt;=$B$24,B37&lt;=$B$25,B37&lt;=$B$26,B37&lt;=$B$27,B37&lt;=$B$28,B37&lt;=$B$29,B37&lt;=$B$30,B37&lt;=$B$31,B37&lt;=$B$32,B37&lt;=$B$33,B37&lt;=$B$34,B37&lt;=$B$35,B37&lt;=$B$36,B37&lt;=$B$37,B37&lt;=$B$38,B37&lt;=$B$39,B37&lt;=$B$40,B37&lt;=$B$41)),CONCATENATE(D37,"&amp;"),""),"")</f>
      </c>
      <c r="B37" s="174" t="e">
        <f>IF((C37-'VIB SPEC SHEET'!$AL$85)&gt;0,C37-'VIB SPEC SHEET'!$AL$85,10^10)</f>
        <v>#VALUE!</v>
      </c>
      <c r="C37" s="231"/>
      <c r="D37" s="232"/>
      <c r="E37" s="233"/>
      <c r="F37" s="197"/>
      <c r="G37" s="174">
        <f>IF('VIB SPEC SHEET'!$K$85="NEMA 4",IF(AND(I37&gt;'VIB SPEC SHEET'!$AL$85,AND(H37&lt;=$H$12,H37&lt;=$H$13,H37&lt;=$H$14,H37&lt;=$H$15,H37&lt;=$H$16,H37&lt;=$H$17,H37&lt;=$H$18,H37&lt;=$H$19,H37&lt;=$H$20,H37&lt;=$H$21,H37&lt;=$H$22,H37&lt;=$H$23,H37&lt;=$H$24,H37&lt;=$H$25,H37&lt;=$H$26,H37&lt;=$H$27,H37&lt;=$H$28,H37&lt;=$H$29,H37&lt;=$H$30,H37&lt;=$H$31,H37&lt;=$H$32,H37&lt;=$H$33,H37&lt;=$H$34,H37&lt;=$H$35,H37&lt;=$H$36,H37&lt;=$H$37,H37&lt;=$H$38,H37&lt;=$H$39,H37&lt;=$H$40,H37&lt;=$H$41)),CONCATENATE(J37,"&amp;"),""),"")</f>
      </c>
      <c r="H37" s="174" t="e">
        <f>IF((I37-'VIB SPEC SHEET'!$AL$85)&gt;0,I37-'VIB SPEC SHEET'!$AL$85,10^10)</f>
        <v>#VALUE!</v>
      </c>
      <c r="I37" s="231"/>
      <c r="J37" s="232"/>
      <c r="K37" s="233"/>
      <c r="L37" s="197"/>
      <c r="M37" s="174">
        <f>IF('VIB SPEC SHEET'!$K$85="NEMA 4X SS",IF(AND(O37&gt;'VIB SPEC SHEET'!$AL$85,AND(N37&lt;=$N$12,N37&lt;=$N$13,N37&lt;=$N$14,N37&lt;=$N$15,N37&lt;=$N$16,N37&lt;=$N$17,N37&lt;=$N$18,N37&lt;=$N$19,N37&lt;=$N$20,N37&lt;=$N$21,N37&lt;=$N$22,N37&lt;=$N$23,N37&lt;=$N$24,N37&lt;=$N$25,N37&lt;=$N$26,N37&lt;=$N$27,N37&lt;=$N$28,N37&lt;=$N$29,N37&lt;=$N$30,N37&lt;=$N$31,N37&lt;=$N$32,N37&lt;=$N$33,N37&lt;=$N$34,N37&lt;=$N$35,N37&lt;=$N$36,N37&lt;=$N$37,N37&lt;=$N$38,N37&lt;=$N$39,N37&lt;=$N$40,N37&lt;=$N$41)),CONCATENATE(P37,"&amp;"),""),"")</f>
      </c>
      <c r="N37" s="174" t="e">
        <f>IF((O37-'VIB SPEC SHEET'!$AL$85)&gt;0,O37-'VIB SPEC SHEET'!$AL$85,10^10)</f>
        <v>#VALUE!</v>
      </c>
      <c r="O37" s="231"/>
      <c r="P37" s="232"/>
      <c r="Q37" s="233"/>
      <c r="S37" s="180"/>
      <c r="T37" s="180"/>
      <c r="U37" s="190"/>
      <c r="V37" s="198"/>
    </row>
    <row r="38" spans="1:22" ht="15">
      <c r="A38" s="174">
        <f>IF('VIB SPEC SHEET'!$K$85="NEMA 12",IF(AND(C38&gt;'VIB SPEC SHEET'!$AL$85,AND(B38&lt;=$B$12,B38&lt;=$B$13,B38&lt;=$B$14,B38&lt;=$B$15,B38&lt;=$B$16,B38&lt;=$B$17,B38&lt;=$B$18,B38&lt;=$B$19,B38&lt;=$B$20,B38&lt;=$B$21,B38&lt;=$B$22,B38&lt;=$B$23,B38&lt;=$B$24,B38&lt;=$B$25,B38&lt;=$B$26,B38&lt;=$B$27,B38&lt;=$B$28,B38&lt;=$B$29,B38&lt;=$B$30,B38&lt;=$B$31,B38&lt;=$B$32,B38&lt;=$B$33,B38&lt;=$B$34,B38&lt;=$B$35,B38&lt;=$B$36,B38&lt;=$B$37,B38&lt;=$B$38,B38&lt;=$B$39,B38&lt;=$B$40,B38&lt;=$B$41)),CONCATENATE(D38,"&amp;"),""),"")</f>
      </c>
      <c r="B38" s="174" t="e">
        <f>IF((C38-'VIB SPEC SHEET'!$AL$85)&gt;0,C38-'VIB SPEC SHEET'!$AL$85,10^10)</f>
        <v>#VALUE!</v>
      </c>
      <c r="C38" s="231"/>
      <c r="D38" s="232"/>
      <c r="E38" s="233"/>
      <c r="F38" s="197"/>
      <c r="G38" s="174">
        <f>IF('VIB SPEC SHEET'!$K$85="NEMA 4",IF(AND(I38&gt;'VIB SPEC SHEET'!$AL$85,AND(H38&lt;=$H$12,H38&lt;=$H$13,H38&lt;=$H$14,H38&lt;=$H$15,H38&lt;=$H$16,H38&lt;=$H$17,H38&lt;=$H$18,H38&lt;=$H$19,H38&lt;=$H$20,H38&lt;=$H$21,H38&lt;=$H$22,H38&lt;=$H$23,H38&lt;=$H$24,H38&lt;=$H$25,H38&lt;=$H$26,H38&lt;=$H$27,H38&lt;=$H$28,H38&lt;=$H$29,H38&lt;=$H$30,H38&lt;=$H$31,H38&lt;=$H$32,H38&lt;=$H$33,H38&lt;=$H$34,H38&lt;=$H$35,H38&lt;=$H$36,H38&lt;=$H$37,H38&lt;=$H$38,H38&lt;=$H$39,H38&lt;=$H$40,H38&lt;=$H$41)),CONCATENATE(J38,"&amp;"),""),"")</f>
      </c>
      <c r="H38" s="174" t="e">
        <f>IF((I38-'VIB SPEC SHEET'!$AL$85)&gt;0,I38-'VIB SPEC SHEET'!$AL$85,10^10)</f>
        <v>#VALUE!</v>
      </c>
      <c r="I38" s="231"/>
      <c r="J38" s="232"/>
      <c r="K38" s="233"/>
      <c r="L38" s="197"/>
      <c r="M38" s="174">
        <f>IF('VIB SPEC SHEET'!$K$85="NEMA 4X SS",IF(AND(O38&gt;'VIB SPEC SHEET'!$AL$85,AND(N38&lt;=$N$12,N38&lt;=$N$13,N38&lt;=$N$14,N38&lt;=$N$15,N38&lt;=$N$16,N38&lt;=$N$17,N38&lt;=$N$18,N38&lt;=$N$19,N38&lt;=$N$20,N38&lt;=$N$21,N38&lt;=$N$22,N38&lt;=$N$23,N38&lt;=$N$24,N38&lt;=$N$25,N38&lt;=$N$26,N38&lt;=$N$27,N38&lt;=$N$28,N38&lt;=$N$29,N38&lt;=$N$30,N38&lt;=$N$31,N38&lt;=$N$32,N38&lt;=$N$33,N38&lt;=$N$34,N38&lt;=$N$35,N38&lt;=$N$36,N38&lt;=$N$37,N38&lt;=$N$38,N38&lt;=$N$39,N38&lt;=$N$40,N38&lt;=$N$41)),CONCATENATE(P38,"&amp;"),""),"")</f>
      </c>
      <c r="N38" s="174" t="e">
        <f>IF((O38-'VIB SPEC SHEET'!$AL$85)&gt;0,O38-'VIB SPEC SHEET'!$AL$85,10^10)</f>
        <v>#VALUE!</v>
      </c>
      <c r="O38" s="231"/>
      <c r="P38" s="232"/>
      <c r="Q38" s="233"/>
      <c r="S38" s="180"/>
      <c r="T38" s="180"/>
      <c r="U38" s="190"/>
      <c r="V38" s="198"/>
    </row>
    <row r="39" spans="1:22" ht="15">
      <c r="A39" s="174">
        <f>IF('VIB SPEC SHEET'!$K$85="NEMA 12",IF(AND(C39&gt;'VIB SPEC SHEET'!$AL$85,AND(B39&lt;=$B$12,B39&lt;=$B$13,B39&lt;=$B$14,B39&lt;=$B$15,B39&lt;=$B$16,B39&lt;=$B$17,B39&lt;=$B$18,B39&lt;=$B$19,B39&lt;=$B$20,B39&lt;=$B$21,B39&lt;=$B$22,B39&lt;=$B$23,B39&lt;=$B$24,B39&lt;=$B$25,B39&lt;=$B$26,B39&lt;=$B$27,B39&lt;=$B$28,B39&lt;=$B$29,B39&lt;=$B$30,B39&lt;=$B$31,B39&lt;=$B$32,B39&lt;=$B$33,B39&lt;=$B$34,B39&lt;=$B$35,B39&lt;=$B$36,B39&lt;=$B$37,B39&lt;=$B$38,B39&lt;=$B$39,B39&lt;=$B$40,B39&lt;=$B$41)),CONCATENATE(D39,"&amp;"),""),"")</f>
      </c>
      <c r="B39" s="174" t="e">
        <f>IF((C39-'VIB SPEC SHEET'!$AL$85)&gt;0,C39-'VIB SPEC SHEET'!$AL$85,10^10)</f>
        <v>#VALUE!</v>
      </c>
      <c r="C39" s="231"/>
      <c r="D39" s="232"/>
      <c r="E39" s="233"/>
      <c r="F39" s="197"/>
      <c r="G39" s="174">
        <f>IF('VIB SPEC SHEET'!$K$85="NEMA 4",IF(AND(I39&gt;'VIB SPEC SHEET'!$AL$85,AND(H39&lt;=$H$12,H39&lt;=$H$13,H39&lt;=$H$14,H39&lt;=$H$15,H39&lt;=$H$16,H39&lt;=$H$17,H39&lt;=$H$18,H39&lt;=$H$19,H39&lt;=$H$20,H39&lt;=$H$21,H39&lt;=$H$22,H39&lt;=$H$23,H39&lt;=$H$24,H39&lt;=$H$25,H39&lt;=$H$26,H39&lt;=$H$27,H39&lt;=$H$28,H39&lt;=$H$29,H39&lt;=$H$30,H39&lt;=$H$31,H39&lt;=$H$32,H39&lt;=$H$33,H39&lt;=$H$34,H39&lt;=$H$35,H39&lt;=$H$36,H39&lt;=$H$37,H39&lt;=$H$38,H39&lt;=$H$39,H39&lt;=$H$40,H39&lt;=$H$41)),CONCATENATE(J39,"&amp;"),""),"")</f>
      </c>
      <c r="H39" s="174" t="e">
        <f>IF((I39-'VIB SPEC SHEET'!$AL$85)&gt;0,I39-'VIB SPEC SHEET'!$AL$85,10^10)</f>
        <v>#VALUE!</v>
      </c>
      <c r="I39" s="231"/>
      <c r="J39" s="232"/>
      <c r="K39" s="233"/>
      <c r="L39" s="197"/>
      <c r="M39" s="174">
        <f>IF('VIB SPEC SHEET'!$K$85="NEMA 4X SS",IF(AND(O39&gt;'VIB SPEC SHEET'!$AL$85,AND(N39&lt;=$N$12,N39&lt;=$N$13,N39&lt;=$N$14,N39&lt;=$N$15,N39&lt;=$N$16,N39&lt;=$N$17,N39&lt;=$N$18,N39&lt;=$N$19,N39&lt;=$N$20,N39&lt;=$N$21,N39&lt;=$N$22,N39&lt;=$N$23,N39&lt;=$N$24,N39&lt;=$N$25,N39&lt;=$N$26,N39&lt;=$N$27,N39&lt;=$N$28,N39&lt;=$N$29,N39&lt;=$N$30,N39&lt;=$N$31,N39&lt;=$N$32,N39&lt;=$N$33,N39&lt;=$N$34,N39&lt;=$N$35,N39&lt;=$N$36,N39&lt;=$N$37,N39&lt;=$N$38,N39&lt;=$N$39,N39&lt;=$N$40,N39&lt;=$N$41)),CONCATENATE(P39,"&amp;"),""),"")</f>
      </c>
      <c r="N39" s="174" t="e">
        <f>IF((O39-'VIB SPEC SHEET'!$AL$85)&gt;0,O39-'VIB SPEC SHEET'!$AL$85,10^10)</f>
        <v>#VALUE!</v>
      </c>
      <c r="O39" s="231"/>
      <c r="P39" s="232"/>
      <c r="Q39" s="233"/>
      <c r="S39" s="180"/>
      <c r="T39" s="180"/>
      <c r="U39" s="190"/>
      <c r="V39" s="198"/>
    </row>
    <row r="40" spans="1:22" ht="15">
      <c r="A40" s="174">
        <f>IF('VIB SPEC SHEET'!$K$85="NEMA 12",IF(AND(C40&gt;'VIB SPEC SHEET'!$AL$85,AND(B40&lt;=$B$12,B40&lt;=$B$13,B40&lt;=$B$14,B40&lt;=$B$15,B40&lt;=$B$16,B40&lt;=$B$17,B40&lt;=$B$18,B40&lt;=$B$19,B40&lt;=$B$20,B40&lt;=$B$21,B40&lt;=$B$22,B40&lt;=$B$23,B40&lt;=$B$24,B40&lt;=$B$25,B40&lt;=$B$26,B40&lt;=$B$27,B40&lt;=$B$28,B40&lt;=$B$29,B40&lt;=$B$30,B40&lt;=$B$31,B40&lt;=$B$32,B40&lt;=$B$33,B40&lt;=$B$34,B40&lt;=$B$35,B40&lt;=$B$36,B40&lt;=$B$37,B40&lt;=$B$38,B40&lt;=$B$39,B40&lt;=$B$40,B40&lt;=$B$41)),CONCATENATE(D40,"&amp;"),""),"")</f>
      </c>
      <c r="B40" s="174" t="e">
        <f>IF((C40-'VIB SPEC SHEET'!$AL$85)&gt;0,C40-'VIB SPEC SHEET'!$AL$85,10^10)</f>
        <v>#VALUE!</v>
      </c>
      <c r="C40" s="231"/>
      <c r="D40" s="232"/>
      <c r="E40" s="233"/>
      <c r="F40" s="197"/>
      <c r="G40" s="174">
        <f>IF('VIB SPEC SHEET'!$K$85="NEMA 4",IF(AND(I40&gt;'VIB SPEC SHEET'!$AL$85,AND(H40&lt;=$H$12,H40&lt;=$H$13,H40&lt;=$H$14,H40&lt;=$H$15,H40&lt;=$H$16,H40&lt;=$H$17,H40&lt;=$H$18,H40&lt;=$H$19,H40&lt;=$H$20,H40&lt;=$H$21,H40&lt;=$H$22,H40&lt;=$H$23,H40&lt;=$H$24,H40&lt;=$H$25,H40&lt;=$H$26,H40&lt;=$H$27,H40&lt;=$H$28,H40&lt;=$H$29,H40&lt;=$H$30,H40&lt;=$H$31,H40&lt;=$H$32,H40&lt;=$H$33,H40&lt;=$H$34,H40&lt;=$H$35,H40&lt;=$H$36,H40&lt;=$H$37,H40&lt;=$H$38,H40&lt;=$H$39,H40&lt;=$H$40,H40&lt;=$H$41)),CONCATENATE(J40,"&amp;"),""),"")</f>
      </c>
      <c r="H40" s="174" t="e">
        <f>IF((I40-'VIB SPEC SHEET'!$AL$85)&gt;0,I40-'VIB SPEC SHEET'!$AL$85,10^10)</f>
        <v>#VALUE!</v>
      </c>
      <c r="I40" s="231"/>
      <c r="J40" s="232"/>
      <c r="K40" s="233"/>
      <c r="L40" s="197"/>
      <c r="M40" s="174">
        <f>IF('VIB SPEC SHEET'!$K$85="NEMA 4X SS",IF(AND(O40&gt;'VIB SPEC SHEET'!$AL$85,AND(N40&lt;=$N$12,N40&lt;=$N$13,N40&lt;=$N$14,N40&lt;=$N$15,N40&lt;=$N$16,N40&lt;=$N$17,N40&lt;=$N$18,N40&lt;=$N$19,N40&lt;=$N$20,N40&lt;=$N$21,N40&lt;=$N$22,N40&lt;=$N$23,N40&lt;=$N$24,N40&lt;=$N$25,N40&lt;=$N$26,N40&lt;=$N$27,N40&lt;=$N$28,N40&lt;=$N$29,N40&lt;=$N$30,N40&lt;=$N$31,N40&lt;=$N$32,N40&lt;=$N$33,N40&lt;=$N$34,N40&lt;=$N$35,N40&lt;=$N$36,N40&lt;=$N$37,N40&lt;=$N$38,N40&lt;=$N$39,N40&lt;=$N$40,N40&lt;=$N$41)),CONCATENATE(P40,"&amp;"),""),"")</f>
      </c>
      <c r="N40" s="174" t="e">
        <f>IF((O40-'VIB SPEC SHEET'!$AL$85)&gt;0,O40-'VIB SPEC SHEET'!$AL$85,10^10)</f>
        <v>#VALUE!</v>
      </c>
      <c r="O40" s="231"/>
      <c r="P40" s="232"/>
      <c r="Q40" s="233"/>
      <c r="S40" s="180"/>
      <c r="T40" s="180"/>
      <c r="U40" s="190"/>
      <c r="V40" s="198"/>
    </row>
    <row r="41" spans="1:22" ht="15.75" thickBot="1">
      <c r="A41" s="174">
        <f>IF('VIB SPEC SHEET'!$K$85="NEMA 12",IF(AND(C41&gt;'VIB SPEC SHEET'!$AL$85,AND(B41&lt;=$B$12,B41&lt;=$B$13,B41&lt;=$B$14,B41&lt;=$B$15,B41&lt;=$B$16,B41&lt;=$B$17,B41&lt;=$B$18,B41&lt;=$B$19,B41&lt;=$B$20,B41&lt;=$B$21,B41&lt;=$B$22,B41&lt;=$B$23,B41&lt;=$B$24,B41&lt;=$B$25,B41&lt;=$B$26,B41&lt;=$B$27,B41&lt;=$B$28,B41&lt;=$B$29,B41&lt;=$B$30,B41&lt;=$B$31,B41&lt;=$B$32,B41&lt;=$B$33,B41&lt;=$B$34,B41&lt;=$B$35,B41&lt;=$B$36,B41&lt;=$B$37,B41&lt;=$B$38,B41&lt;=$B$39,B41&lt;=$B$40,B41&lt;=$B$41)),CONCATENATE(D41,"&amp;"),""),"")</f>
      </c>
      <c r="B41" s="174" t="e">
        <f>IF((C41-'VIB SPEC SHEET'!$AL$85)&gt;0,C41-'VIB SPEC SHEET'!$AL$85,10^10)</f>
        <v>#VALUE!</v>
      </c>
      <c r="C41" s="231"/>
      <c r="D41" s="232"/>
      <c r="E41" s="233"/>
      <c r="F41" s="197"/>
      <c r="G41" s="174">
        <f>IF('VIB SPEC SHEET'!$K$85="NEMA 4",IF(AND(I41&gt;'VIB SPEC SHEET'!$AL$85,AND(H41&lt;=$H$12,H41&lt;=$H$13,H41&lt;=$H$14,H41&lt;=$H$15,H41&lt;=$H$16,H41&lt;=$H$17,H41&lt;=$H$18,H41&lt;=$H$19,H41&lt;=$H$20,H41&lt;=$H$21,H41&lt;=$H$22,H41&lt;=$H$23,H41&lt;=$H$24,H41&lt;=$H$25,H41&lt;=$H$26,H41&lt;=$H$27,H41&lt;=$H$28,H41&lt;=$H$29,H41&lt;=$H$30,H41&lt;=$H$31,H41&lt;=$H$32,H41&lt;=$H$33,H41&lt;=$H$34,H41&lt;=$H$35,H41&lt;=$H$36,H41&lt;=$H$37,H41&lt;=$H$38,H41&lt;=$H$39,H41&lt;=$H$40,H41&lt;=$H$41)),CONCATENATE(J41,"&amp;"),""),"")</f>
      </c>
      <c r="H41" s="174" t="e">
        <f>IF((I41-'VIB SPEC SHEET'!$AL$85)&gt;0,I41-'VIB SPEC SHEET'!$AL$85,10^10)</f>
        <v>#VALUE!</v>
      </c>
      <c r="I41" s="234"/>
      <c r="J41" s="235"/>
      <c r="K41" s="236"/>
      <c r="L41" s="197"/>
      <c r="M41" s="174">
        <f>IF('VIB SPEC SHEET'!$K$85="NEMA 4X SS",IF(AND(O41&gt;'VIB SPEC SHEET'!$AL$85,AND(N41&lt;=$N$12,N41&lt;=$N$13,N41&lt;=$N$14,N41&lt;=$N$15,N41&lt;=$N$16,N41&lt;=$N$17,N41&lt;=$N$18,N41&lt;=$N$19,N41&lt;=$N$20,N41&lt;=$N$21,N41&lt;=$N$22,N41&lt;=$N$23,N41&lt;=$N$24,N41&lt;=$N$25,N41&lt;=$N$26,N41&lt;=$N$27,N41&lt;=$N$28,N41&lt;=$N$29,N41&lt;=$N$30,N41&lt;=$N$31,N41&lt;=$N$32,N41&lt;=$N$33,N41&lt;=$N$34,N41&lt;=$N$35,N41&lt;=$N$36,N41&lt;=$N$37,N41&lt;=$N$38,N41&lt;=$N$39,N41&lt;=$N$40,N41&lt;=$N$41)),CONCATENATE(P41,"&amp;"),""),"")</f>
      </c>
      <c r="N41" s="174" t="e">
        <f>IF((O41-'VIB SPEC SHEET'!$AL$85)&gt;0,O41-'VIB SPEC SHEET'!$AL$85,10^10)</f>
        <v>#VALUE!</v>
      </c>
      <c r="O41" s="234"/>
      <c r="P41" s="235"/>
      <c r="Q41" s="236"/>
      <c r="S41" s="180"/>
      <c r="T41" s="180"/>
      <c r="U41" s="190"/>
      <c r="V41" s="198"/>
    </row>
    <row r="42" spans="1:22" ht="15">
      <c r="A42" s="180"/>
      <c r="B42" s="180"/>
      <c r="C42" s="199"/>
      <c r="D42" s="200"/>
      <c r="E42" s="201"/>
      <c r="F42" s="197"/>
      <c r="G42" s="180"/>
      <c r="H42" s="180"/>
      <c r="I42" s="180"/>
      <c r="J42" s="190"/>
      <c r="K42" s="198"/>
      <c r="L42" s="197"/>
      <c r="M42" s="180"/>
      <c r="N42" s="180"/>
      <c r="O42" s="180"/>
      <c r="P42" s="190"/>
      <c r="Q42" s="198"/>
      <c r="S42" s="180"/>
      <c r="T42" s="180"/>
      <c r="U42" s="190"/>
      <c r="V42" s="198"/>
    </row>
    <row r="43" spans="1:22" ht="15">
      <c r="A43" s="180"/>
      <c r="B43" s="180"/>
      <c r="C43" s="180"/>
      <c r="D43" s="190"/>
      <c r="E43" s="198"/>
      <c r="F43" s="197"/>
      <c r="G43" s="180"/>
      <c r="H43" s="180"/>
      <c r="I43" s="180"/>
      <c r="J43" s="190"/>
      <c r="K43" s="198"/>
      <c r="L43" s="197"/>
      <c r="M43" s="180"/>
      <c r="N43" s="180"/>
      <c r="O43" s="180"/>
      <c r="P43" s="190"/>
      <c r="Q43" s="198"/>
      <c r="S43" s="180"/>
      <c r="T43" s="180"/>
      <c r="U43" s="190"/>
      <c r="V43" s="198"/>
    </row>
    <row r="44" spans="1:22" ht="15.75" thickBot="1">
      <c r="A44" s="202"/>
      <c r="B44" s="180"/>
      <c r="C44" s="180"/>
      <c r="D44" s="190"/>
      <c r="E44" s="198"/>
      <c r="F44" s="197"/>
      <c r="G44" s="180"/>
      <c r="H44" s="180"/>
      <c r="I44" s="180"/>
      <c r="J44" s="190"/>
      <c r="K44" s="198"/>
      <c r="L44" s="197"/>
      <c r="M44" s="180"/>
      <c r="N44" s="180"/>
      <c r="O44" s="180"/>
      <c r="P44" s="190"/>
      <c r="Q44" s="198"/>
      <c r="S44" s="180"/>
      <c r="T44" s="180"/>
      <c r="U44" s="190"/>
      <c r="V44" s="198"/>
    </row>
    <row r="45" spans="1:22" ht="16.5" thickBot="1">
      <c r="A45" s="203" t="s">
        <v>213</v>
      </c>
      <c r="B45" s="204"/>
      <c r="C45" s="180"/>
      <c r="D45" s="190"/>
      <c r="E45" s="198"/>
      <c r="F45" s="197"/>
      <c r="G45" s="203" t="s">
        <v>213</v>
      </c>
      <c r="H45" s="204"/>
      <c r="I45" s="202"/>
      <c r="J45" s="190"/>
      <c r="K45" s="198"/>
      <c r="L45" s="197"/>
      <c r="M45" s="203" t="s">
        <v>213</v>
      </c>
      <c r="N45" s="204"/>
      <c r="O45" s="202"/>
      <c r="P45" s="190"/>
      <c r="Q45" s="198"/>
      <c r="S45" s="180"/>
      <c r="T45" s="180"/>
      <c r="U45" s="190"/>
      <c r="V45" s="198"/>
    </row>
    <row r="46" spans="1:22" ht="15">
      <c r="A46" s="175">
        <f>IF('VIB SPEC SHEET'!$K$85="NEMA 12",IF(AND(C46&gt;'VIB SPEC SHEET'!$AL$85,AND(B46&lt;=$B$46,B46&lt;=$B$47,B46&lt;=$B$48,B46&lt;=$B$49,B46&lt;=$B$50,B46&lt;=$B$51,B46&lt;=$B$52,B46&lt;=$B$53,B46&lt;=$B$54,B46&lt;=$B$55,B46&lt;=$B$56,B46&lt;=$B$57,B46&lt;=$B$58,B46&lt;=$B$59,B46&lt;=$B$60,B46&lt;=$B$61,B46&lt;=$B$62,B46&lt;=$B$63,B46&lt;=$B$64,B46&lt;=$B$65,B46&lt;=$B$66,B46&lt;=$B$67,B46&lt;=$B$68,B46&lt;=$B$69,B46&lt;=$B$70,B46&lt;=$B$71,B46&lt;=$B$72,B46&lt;=$B$73,B46&lt;=$B$74,B46&lt;=$B$75)),CONCATENATE(D46,"&amp;"),""),"")</f>
      </c>
      <c r="B46" s="176" t="e">
        <f>IF((C46-'VIB SPEC SHEET'!$AL$85)&gt;0,C46-'VIB SPEC SHEET'!$AL$85,10^10)</f>
        <v>#VALUE!</v>
      </c>
      <c r="C46" s="237">
        <v>1</v>
      </c>
      <c r="D46" s="238" t="s">
        <v>224</v>
      </c>
      <c r="E46" s="239">
        <v>44559819</v>
      </c>
      <c r="F46" s="197"/>
      <c r="G46" s="175">
        <f>IF('VIB SPEC SHEET'!$K$85="NEMA 4",IF(AND(I46&gt;'VIB SPEC SHEET'!$AL$85,AND(H46&lt;=$H$46,H46&lt;=$H$47,H46&lt;=$H$48,H46&lt;=$H$49,H46&lt;=$H$50,H46&lt;=$H$51,H46&lt;=$H$52,H46&lt;=$H$53,H46&lt;=$H$54,H46&lt;=$H$55,H46&lt;=$H$56,H46&lt;=$H$57,H46&lt;=$H$58,H46&lt;=$H$59,H46&lt;=$H$60,H46&lt;=$H$61,H46&lt;=$H$62,H46&lt;=$H$63,H46&lt;=$H$64,H46&lt;=$H$65,H46&lt;=$H$66,H46&lt;=$H$67,H46&lt;=$H$68,H46&lt;=$H$69,H46&lt;=$H$70,H46&lt;=$H$71,H46&lt;=$H$72,H46&lt;=$H$73,H46&lt;=$H$74,H46&lt;=$H$75)),CONCATENATE(J46,"&amp;"),""),"")</f>
      </c>
      <c r="H46" s="176" t="e">
        <f>IF((I46-'VIB SPEC SHEET'!$AL$85)&gt;0,I46-'VIB SPEC SHEET'!$AL$85,10^10)</f>
        <v>#VALUE!</v>
      </c>
      <c r="I46" s="237"/>
      <c r="J46" s="238"/>
      <c r="K46" s="239"/>
      <c r="L46" s="197"/>
      <c r="M46" s="175">
        <f>IF('VIB SPEC SHEET'!$K$85="NEMA 4X SS",IF(AND(O46&gt;'VIB SPEC SHEET'!$AL$85,AND(N46&lt;=$N$46,N46&lt;=$N$47,N46&lt;=$N$48,N46&lt;=$N$49,N46&lt;=$N$50,N46&lt;=$N$51,N46&lt;=$N$52,N46&lt;=$N$53,N46&lt;=$N$54,N46&lt;=$N$55,N46&lt;=$N$56,N46&lt;=$N$57,N46&lt;=$N$58,N46&lt;=$N$59,N46&lt;=$N$60,N46&lt;=$N$61,N46&lt;=$N$62,N46&lt;=$N$63,N46&lt;=$N$64,N46&lt;=$N$65,N46&lt;=$N$66,N46&lt;=$N$67,N46&lt;=$N$68,N46&lt;=$N$69,N46&lt;=$N$70,N46&lt;=$N$71,N46&lt;=$N$72,N46&lt;=$N$73,N46&lt;=$N$74,N46&lt;=$N$75)),CONCATENATE(P46,"&amp;"),""),"")</f>
      </c>
      <c r="N46" s="176" t="e">
        <f>IF((O46-'VIB SPEC SHEET'!$AL$85)&gt;0,O46-'VIB SPEC SHEET'!$AL$85,10^10)</f>
        <v>#VALUE!</v>
      </c>
      <c r="O46" s="237"/>
      <c r="P46" s="238"/>
      <c r="Q46" s="239"/>
      <c r="S46" s="180"/>
      <c r="T46" s="180"/>
      <c r="U46" s="190"/>
      <c r="V46" s="198"/>
    </row>
    <row r="47" spans="1:22" ht="15">
      <c r="A47" s="174">
        <f>IF('VIB SPEC SHEET'!$K$85="NEMA 12",IF(AND(C47&gt;'VIB SPEC SHEET'!$AL$85,AND(B47&lt;=$B$46,B47&lt;=$B$47,B47&lt;=$B$48,B47&lt;=$B$49,B47&lt;=$B$50,B47&lt;=$B$51,B47&lt;=$B$52,B47&lt;=$B$53,B47&lt;=$B$54,B47&lt;=$B$55,B47&lt;=$B$56,B47&lt;=$B$57,B47&lt;=$B$58,B47&lt;=$B$59,B47&lt;=$B$60,B47&lt;=$B$61,B47&lt;=$B$62,B47&lt;=$B$63,B47&lt;=$B$64,B47&lt;=$B$65,B47&lt;=$B$66,B47&lt;=$B$67,B47&lt;=$B$68,B47&lt;=$B$69,B47&lt;=$B$70,B47&lt;=$B$71,B47&lt;=$B$72,B47&lt;=$B$73,B47&lt;=$B$74,B47&lt;=$B$75)),CONCATENATE(D47,"&amp;"),""),"")</f>
      </c>
      <c r="B47" s="176" t="e">
        <f>IF((C47-'VIB SPEC SHEET'!$AL$85)&gt;0,C47-'VIB SPEC SHEET'!$AL$85,10^10)</f>
        <v>#VALUE!</v>
      </c>
      <c r="C47" s="231">
        <v>1</v>
      </c>
      <c r="D47" s="232" t="s">
        <v>225</v>
      </c>
      <c r="E47" s="233">
        <v>44559820</v>
      </c>
      <c r="F47" s="197"/>
      <c r="G47" s="174">
        <f>IF('VIB SPEC SHEET'!$K$85="NEMA 4",IF(AND(I47&gt;'VIB SPEC SHEET'!$AL$85,AND(H47&lt;=$H$46,H47&lt;=$H$47,H47&lt;=$H$48,H47&lt;=$H$49,H47&lt;=$H$50,H47&lt;=$H$51,H47&lt;=$H$52,H47&lt;=$H$53,H47&lt;=$H$54,H47&lt;=$H$55,H47&lt;=$H$56,H47&lt;=$H$57,H47&lt;=$H$58,H47&lt;=$H$59,H47&lt;=$H$60,H47&lt;=$H$61,H47&lt;=$H$62,H47&lt;=$H$63,H47&lt;=$H$64,H47&lt;=$H$65,H47&lt;=$H$66,H47&lt;=$H$67,H47&lt;=$H$68,H47&lt;=$H$69,H47&lt;=$H$70,H47&lt;=$H$71,H47&lt;=$H$72,H47&lt;=$H$73,H47&lt;=$H$74,H47&lt;=$H$75)),CONCATENATE(J47,"&amp;"),""),"")</f>
      </c>
      <c r="H47" s="176" t="e">
        <f>IF((I47-'VIB SPEC SHEET'!$AL$85)&gt;0,I47-'VIB SPEC SHEET'!$AL$85,10^10)</f>
        <v>#VALUE!</v>
      </c>
      <c r="I47" s="231"/>
      <c r="J47" s="232"/>
      <c r="K47" s="233"/>
      <c r="L47" s="197"/>
      <c r="M47" s="174">
        <f>IF('VIB SPEC SHEET'!$K$85="NEMA 4X SS",IF(AND(O47&gt;'VIB SPEC SHEET'!$AL$85,AND(N47&lt;=$N$46,N47&lt;=$N$47,N47&lt;=$N$48,N47&lt;=$N$49,N47&lt;=$N$50,N47&lt;=$N$51,N47&lt;=$N$52,N47&lt;=$N$53,N47&lt;=$N$54,N47&lt;=$N$55,N47&lt;=$N$56,N47&lt;=$N$57,N47&lt;=$N$58,N47&lt;=$N$59,N47&lt;=$N$60,N47&lt;=$N$61,N47&lt;=$N$62,N47&lt;=$N$63,N47&lt;=$N$64,N47&lt;=$N$65,N47&lt;=$N$66,N47&lt;=$N$67,N47&lt;=$N$68,N47&lt;=$N$69,N47&lt;=$N$70,N47&lt;=$N$71,N47&lt;=$N$72,N47&lt;=$N$73,N47&lt;=$N$74,N47&lt;=$N$75)),CONCATENATE(P47,"&amp;"),""),"")</f>
      </c>
      <c r="N47" s="176" t="e">
        <f>IF((O47-'VIB SPEC SHEET'!$AL$85)&gt;0,O47-'VIB SPEC SHEET'!$AL$85,10^10)</f>
        <v>#VALUE!</v>
      </c>
      <c r="O47" s="231"/>
      <c r="P47" s="232"/>
      <c r="Q47" s="233"/>
      <c r="S47" s="180"/>
      <c r="T47" s="180"/>
      <c r="U47" s="190"/>
      <c r="V47" s="198"/>
    </row>
    <row r="48" spans="1:22" ht="15">
      <c r="A48" s="174">
        <f>IF('VIB SPEC SHEET'!$K$85="NEMA 12",IF(AND(C48&gt;'VIB SPEC SHEET'!$AL$85,AND(B48&lt;=$B$46,B48&lt;=$B$47,B48&lt;=$B$48,B48&lt;=$B$49,B48&lt;=$B$50,B48&lt;=$B$51,B48&lt;=$B$52,B48&lt;=$B$53,B48&lt;=$B$54,B48&lt;=$B$55,B48&lt;=$B$56,B48&lt;=$B$57,B48&lt;=$B$58,B48&lt;=$B$59,B48&lt;=$B$60,B48&lt;=$B$61,B48&lt;=$B$62,B48&lt;=$B$63,B48&lt;=$B$64,B48&lt;=$B$65,B48&lt;=$B$66,B48&lt;=$B$67,B48&lt;=$B$68,B48&lt;=$B$69,B48&lt;=$B$70,B48&lt;=$B$71,B48&lt;=$B$72,B48&lt;=$B$73,B48&lt;=$B$74,B48&lt;=$B$75)),CONCATENATE(D48,"&amp;"),""),"")</f>
      </c>
      <c r="B48" s="176" t="e">
        <f>IF((C48-'VIB SPEC SHEET'!$AL$85)&gt;0,C48-'VIB SPEC SHEET'!$AL$85,10^10)</f>
        <v>#VALUE!</v>
      </c>
      <c r="C48" s="231">
        <v>1</v>
      </c>
      <c r="D48" s="232" t="s">
        <v>226</v>
      </c>
      <c r="E48" s="233">
        <v>44559821</v>
      </c>
      <c r="F48" s="197"/>
      <c r="G48" s="174">
        <f>IF('VIB SPEC SHEET'!$K$85="NEMA 4",IF(AND(I48&gt;'VIB SPEC SHEET'!$AL$85,AND(H48&lt;=$H$46,H48&lt;=$H$47,H48&lt;=$H$48,H48&lt;=$H$49,H48&lt;=$H$50,H48&lt;=$H$51,H48&lt;=$H$52,H48&lt;=$H$53,H48&lt;=$H$54,H48&lt;=$H$55,H48&lt;=$H$56,H48&lt;=$H$57,H48&lt;=$H$58,H48&lt;=$H$59,H48&lt;=$H$60,H48&lt;=$H$61,H48&lt;=$H$62,H48&lt;=$H$63,H48&lt;=$H$64,H48&lt;=$H$65,H48&lt;=$H$66,H48&lt;=$H$67,H48&lt;=$H$68,H48&lt;=$H$69,H48&lt;=$H$70,H48&lt;=$H$71,H48&lt;=$H$72,H48&lt;=$H$73,H48&lt;=$H$74,H48&lt;=$H$75)),CONCATENATE(J48,"&amp;"),""),"")</f>
      </c>
      <c r="H48" s="176" t="e">
        <f>IF((I48-'VIB SPEC SHEET'!$AL$85)&gt;0,I48-'VIB SPEC SHEET'!$AL$85,10^10)</f>
        <v>#VALUE!</v>
      </c>
      <c r="I48" s="231"/>
      <c r="J48" s="232"/>
      <c r="K48" s="233"/>
      <c r="L48" s="197"/>
      <c r="M48" s="174">
        <f>IF('VIB SPEC SHEET'!$K$85="NEMA 4X SS",IF(AND(O48&gt;'VIB SPEC SHEET'!$AL$85,AND(N48&lt;=$N$46,N48&lt;=$N$47,N48&lt;=$N$48,N48&lt;=$N$49,N48&lt;=$N$50,N48&lt;=$N$51,N48&lt;=$N$52,N48&lt;=$N$53,N48&lt;=$N$54,N48&lt;=$N$55,N48&lt;=$N$56,N48&lt;=$N$57,N48&lt;=$N$58,N48&lt;=$N$59,N48&lt;=$N$60,N48&lt;=$N$61,N48&lt;=$N$62,N48&lt;=$N$63,N48&lt;=$N$64,N48&lt;=$N$65,N48&lt;=$N$66,N48&lt;=$N$67,N48&lt;=$N$68,N48&lt;=$N$69,N48&lt;=$N$70,N48&lt;=$N$71,N48&lt;=$N$72,N48&lt;=$N$73,N48&lt;=$N$74,N48&lt;=$N$75)),CONCATENATE(P48,"&amp;"),""),"")</f>
      </c>
      <c r="N48" s="176" t="e">
        <f>IF((O48-'VIB SPEC SHEET'!$AL$85)&gt;0,O48-'VIB SPEC SHEET'!$AL$85,10^10)</f>
        <v>#VALUE!</v>
      </c>
      <c r="O48" s="231"/>
      <c r="P48" s="232"/>
      <c r="Q48" s="233"/>
      <c r="S48" s="180"/>
      <c r="T48" s="180"/>
      <c r="U48" s="190"/>
      <c r="V48" s="198"/>
    </row>
    <row r="49" spans="1:22" ht="15">
      <c r="A49" s="174">
        <f>IF('VIB SPEC SHEET'!$K$85="NEMA 12",IF(AND(C49&gt;'VIB SPEC SHEET'!$AL$85,AND(B49&lt;=$B$46,B49&lt;=$B$47,B49&lt;=$B$48,B49&lt;=$B$49,B49&lt;=$B$50,B49&lt;=$B$51,B49&lt;=$B$52,B49&lt;=$B$53,B49&lt;=$B$54,B49&lt;=$B$55,B49&lt;=$B$56,B49&lt;=$B$57,B49&lt;=$B$58,B49&lt;=$B$59,B49&lt;=$B$60,B49&lt;=$B$61,B49&lt;=$B$62,B49&lt;=$B$63,B49&lt;=$B$64,B49&lt;=$B$65,B49&lt;=$B$66,B49&lt;=$B$67,B49&lt;=$B$68,B49&lt;=$B$69,B49&lt;=$B$70,B49&lt;=$B$71,B49&lt;=$B$72,B49&lt;=$B$73,B49&lt;=$B$74,B49&lt;=$B$75)),CONCATENATE(D49,"&amp;"),""),"")</f>
      </c>
      <c r="B49" s="176" t="e">
        <f>IF((C49-'VIB SPEC SHEET'!$AL$85)&gt;0,C49-'VIB SPEC SHEET'!$AL$85,10^10)</f>
        <v>#VALUE!</v>
      </c>
      <c r="C49" s="231"/>
      <c r="D49" s="232"/>
      <c r="E49" s="233"/>
      <c r="F49" s="197"/>
      <c r="G49" s="174">
        <f>IF('VIB SPEC SHEET'!$K$85="NEMA 4",IF(AND(I49&gt;'VIB SPEC SHEET'!$AL$85,AND(H49&lt;=$H$46,H49&lt;=$H$47,H49&lt;=$H$48,H49&lt;=$H$49,H49&lt;=$H$50,H49&lt;=$H$51,H49&lt;=$H$52,H49&lt;=$H$53,H49&lt;=$H$54,H49&lt;=$H$55,H49&lt;=$H$56,H49&lt;=$H$57,H49&lt;=$H$58,H49&lt;=$H$59,H49&lt;=$H$60,H49&lt;=$H$61,H49&lt;=$H$62,H49&lt;=$H$63,H49&lt;=$H$64,H49&lt;=$H$65,H49&lt;=$H$66,H49&lt;=$H$67,H49&lt;=$H$68,H49&lt;=$H$69,H49&lt;=$H$70,H49&lt;=$H$71,H49&lt;=$H$72,H49&lt;=$H$73,H49&lt;=$H$74,H49&lt;=$H$75)),CONCATENATE(J49,"&amp;"),""),"")</f>
      </c>
      <c r="H49" s="176" t="e">
        <f>IF((I49-'VIB SPEC SHEET'!$AL$85)&gt;0,I49-'VIB SPEC SHEET'!$AL$85,10^10)</f>
        <v>#VALUE!</v>
      </c>
      <c r="I49" s="231"/>
      <c r="J49" s="232"/>
      <c r="K49" s="233"/>
      <c r="L49" s="197"/>
      <c r="M49" s="174">
        <f>IF('VIB SPEC SHEET'!$K$85="NEMA 4X SS",IF(AND(O49&gt;'VIB SPEC SHEET'!$AL$85,AND(N49&lt;=$N$46,N49&lt;=$N$47,N49&lt;=$N$48,N49&lt;=$N$49,N49&lt;=$N$50,N49&lt;=$N$51,N49&lt;=$N$52,N49&lt;=$N$53,N49&lt;=$N$54,N49&lt;=$N$55,N49&lt;=$N$56,N49&lt;=$N$57,N49&lt;=$N$58,N49&lt;=$N$59,N49&lt;=$N$60,N49&lt;=$N$61,N49&lt;=$N$62,N49&lt;=$N$63,N49&lt;=$N$64,N49&lt;=$N$65,N49&lt;=$N$66,N49&lt;=$N$67,N49&lt;=$N$68,N49&lt;=$N$69,N49&lt;=$N$70,N49&lt;=$N$71,N49&lt;=$N$72,N49&lt;=$N$73,N49&lt;=$N$74,N49&lt;=$N$75)),CONCATENATE(P49,"&amp;"),""),"")</f>
      </c>
      <c r="N49" s="176" t="e">
        <f>IF((O49-'VIB SPEC SHEET'!$AL$85)&gt;0,O49-'VIB SPEC SHEET'!$AL$85,10^10)</f>
        <v>#VALUE!</v>
      </c>
      <c r="O49" s="231"/>
      <c r="P49" s="232"/>
      <c r="Q49" s="233"/>
      <c r="S49" s="180"/>
      <c r="T49" s="180"/>
      <c r="U49" s="190"/>
      <c r="V49" s="198"/>
    </row>
    <row r="50" spans="1:22" ht="15">
      <c r="A50" s="174">
        <f>IF('VIB SPEC SHEET'!$K$85="NEMA 12",IF(AND(C50&gt;'VIB SPEC SHEET'!$AL$85,AND(B50&lt;=$B$46,B50&lt;=$B$47,B50&lt;=$B$48,B50&lt;=$B$49,B50&lt;=$B$50,B50&lt;=$B$51,B50&lt;=$B$52,B50&lt;=$B$53,B50&lt;=$B$54,B50&lt;=$B$55,B50&lt;=$B$56,B50&lt;=$B$57,B50&lt;=$B$58,B50&lt;=$B$59,B50&lt;=$B$60,B50&lt;=$B$61,B50&lt;=$B$62,B50&lt;=$B$63,B50&lt;=$B$64,B50&lt;=$B$65,B50&lt;=$B$66,B50&lt;=$B$67,B50&lt;=$B$68,B50&lt;=$B$69,B50&lt;=$B$70,B50&lt;=$B$71,B50&lt;=$B$72,B50&lt;=$B$73,B50&lt;=$B$74,B50&lt;=$B$75)),CONCATENATE(D50,"&amp;"),""),"")</f>
      </c>
      <c r="B50" s="176" t="e">
        <f>IF((C50-'VIB SPEC SHEET'!$AL$85)&gt;0,C50-'VIB SPEC SHEET'!$AL$85,10^10)</f>
        <v>#VALUE!</v>
      </c>
      <c r="C50" s="231"/>
      <c r="D50" s="232"/>
      <c r="E50" s="233"/>
      <c r="F50" s="197"/>
      <c r="G50" s="174">
        <f>IF('VIB SPEC SHEET'!$K$85="NEMA 4",IF(AND(I50&gt;'VIB SPEC SHEET'!$AL$85,AND(H50&lt;=$H$46,H50&lt;=$H$47,H50&lt;=$H$48,H50&lt;=$H$49,H50&lt;=$H$50,H50&lt;=$H$51,H50&lt;=$H$52,H50&lt;=$H$53,H50&lt;=$H$54,H50&lt;=$H$55,H50&lt;=$H$56,H50&lt;=$H$57,H50&lt;=$H$58,H50&lt;=$H$59,H50&lt;=$H$60,H50&lt;=$H$61,H50&lt;=$H$62,H50&lt;=$H$63,H50&lt;=$H$64,H50&lt;=$H$65,H50&lt;=$H$66,H50&lt;=$H$67,H50&lt;=$H$68,H50&lt;=$H$69,H50&lt;=$H$70,H50&lt;=$H$71,H50&lt;=$H$72,H50&lt;=$H$73,H50&lt;=$H$74,H50&lt;=$H$75)),CONCATENATE(J50,"&amp;"),""),"")</f>
      </c>
      <c r="H50" s="176" t="e">
        <f>IF((I50-'VIB SPEC SHEET'!$AL$85)&gt;0,I50-'VIB SPEC SHEET'!$AL$85,10^10)</f>
        <v>#VALUE!</v>
      </c>
      <c r="I50" s="231"/>
      <c r="J50" s="232"/>
      <c r="K50" s="233"/>
      <c r="L50" s="197"/>
      <c r="M50" s="174">
        <f>IF('VIB SPEC SHEET'!$K$85="NEMA 4X SS",IF(AND(O50&gt;'VIB SPEC SHEET'!$AL$85,AND(N50&lt;=$N$46,N50&lt;=$N$47,N50&lt;=$N$48,N50&lt;=$N$49,N50&lt;=$N$50,N50&lt;=$N$51,N50&lt;=$N$52,N50&lt;=$N$53,N50&lt;=$N$54,N50&lt;=$N$55,N50&lt;=$N$56,N50&lt;=$N$57,N50&lt;=$N$58,N50&lt;=$N$59,N50&lt;=$N$60,N50&lt;=$N$61,N50&lt;=$N$62,N50&lt;=$N$63,N50&lt;=$N$64,N50&lt;=$N$65,N50&lt;=$N$66,N50&lt;=$N$67,N50&lt;=$N$68,N50&lt;=$N$69,N50&lt;=$N$70,N50&lt;=$N$71,N50&lt;=$N$72,N50&lt;=$N$73,N50&lt;=$N$74,N50&lt;=$N$75)),CONCATENATE(P50,"&amp;"),""),"")</f>
      </c>
      <c r="N50" s="176" t="e">
        <f>IF((O50-'VIB SPEC SHEET'!$AL$85)&gt;0,O50-'VIB SPEC SHEET'!$AL$85,10^10)</f>
        <v>#VALUE!</v>
      </c>
      <c r="O50" s="231"/>
      <c r="P50" s="232"/>
      <c r="Q50" s="233"/>
      <c r="S50" s="180"/>
      <c r="T50" s="180"/>
      <c r="U50" s="190"/>
      <c r="V50" s="198"/>
    </row>
    <row r="51" spans="1:22" ht="15">
      <c r="A51" s="174">
        <f>IF('VIB SPEC SHEET'!$K$85="NEMA 12",IF(AND(C51&gt;'VIB SPEC SHEET'!$AL$85,AND(B51&lt;=$B$46,B51&lt;=$B$47,B51&lt;=$B$48,B51&lt;=$B$49,B51&lt;=$B$50,B51&lt;=$B$51,B51&lt;=$B$52,B51&lt;=$B$53,B51&lt;=$B$54,B51&lt;=$B$55,B51&lt;=$B$56,B51&lt;=$B$57,B51&lt;=$B$58,B51&lt;=$B$59,B51&lt;=$B$60,B51&lt;=$B$61,B51&lt;=$B$62,B51&lt;=$B$63,B51&lt;=$B$64,B51&lt;=$B$65,B51&lt;=$B$66,B51&lt;=$B$67,B51&lt;=$B$68,B51&lt;=$B$69,B51&lt;=$B$70,B51&lt;=$B$71,B51&lt;=$B$72,B51&lt;=$B$73,B51&lt;=$B$74,B51&lt;=$B$75)),CONCATENATE(D51,"&amp;"),""),"")</f>
      </c>
      <c r="B51" s="176" t="e">
        <f>IF((C51-'VIB SPEC SHEET'!$AL$85)&gt;0,C51-'VIB SPEC SHEET'!$AL$85,10^10)</f>
        <v>#VALUE!</v>
      </c>
      <c r="C51" s="231"/>
      <c r="D51" s="232"/>
      <c r="E51" s="233"/>
      <c r="F51" s="197"/>
      <c r="G51" s="174">
        <f>IF('VIB SPEC SHEET'!$K$85="NEMA 4",IF(AND(I51&gt;'VIB SPEC SHEET'!$AL$85,AND(H51&lt;=$H$46,H51&lt;=$H$47,H51&lt;=$H$48,H51&lt;=$H$49,H51&lt;=$H$50,H51&lt;=$H$51,H51&lt;=$H$52,H51&lt;=$H$53,H51&lt;=$H$54,H51&lt;=$H$55,H51&lt;=$H$56,H51&lt;=$H$57,H51&lt;=$H$58,H51&lt;=$H$59,H51&lt;=$H$60,H51&lt;=$H$61,H51&lt;=$H$62,H51&lt;=$H$63,H51&lt;=$H$64,H51&lt;=$H$65,H51&lt;=$H$66,H51&lt;=$H$67,H51&lt;=$H$68,H51&lt;=$H$69,H51&lt;=$H$70,H51&lt;=$H$71,H51&lt;=$H$72,H51&lt;=$H$73,H51&lt;=$H$74,H51&lt;=$H$75)),CONCATENATE(J51,"&amp;"),""),"")</f>
      </c>
      <c r="H51" s="176" t="e">
        <f>IF((I51-'VIB SPEC SHEET'!$AL$85)&gt;0,I51-'VIB SPEC SHEET'!$AL$85,10^10)</f>
        <v>#VALUE!</v>
      </c>
      <c r="I51" s="231"/>
      <c r="J51" s="232"/>
      <c r="K51" s="233"/>
      <c r="L51" s="197"/>
      <c r="M51" s="174">
        <f>IF('VIB SPEC SHEET'!$K$85="NEMA 4X SS",IF(AND(O51&gt;'VIB SPEC SHEET'!$AL$85,AND(N51&lt;=$N$46,N51&lt;=$N$47,N51&lt;=$N$48,N51&lt;=$N$49,N51&lt;=$N$50,N51&lt;=$N$51,N51&lt;=$N$52,N51&lt;=$N$53,N51&lt;=$N$54,N51&lt;=$N$55,N51&lt;=$N$56,N51&lt;=$N$57,N51&lt;=$N$58,N51&lt;=$N$59,N51&lt;=$N$60,N51&lt;=$N$61,N51&lt;=$N$62,N51&lt;=$N$63,N51&lt;=$N$64,N51&lt;=$N$65,N51&lt;=$N$66,N51&lt;=$N$67,N51&lt;=$N$68,N51&lt;=$N$69,N51&lt;=$N$70,N51&lt;=$N$71,N51&lt;=$N$72,N51&lt;=$N$73,N51&lt;=$N$74,N51&lt;=$N$75)),CONCATENATE(P51,"&amp;"),""),"")</f>
      </c>
      <c r="N51" s="176" t="e">
        <f>IF((O51-'VIB SPEC SHEET'!$AL$85)&gt;0,O51-'VIB SPEC SHEET'!$AL$85,10^10)</f>
        <v>#VALUE!</v>
      </c>
      <c r="O51" s="231"/>
      <c r="P51" s="232"/>
      <c r="Q51" s="233"/>
      <c r="S51" s="180"/>
      <c r="T51" s="180"/>
      <c r="U51" s="190"/>
      <c r="V51" s="198"/>
    </row>
    <row r="52" spans="1:22" ht="15">
      <c r="A52" s="174">
        <f>IF('VIB SPEC SHEET'!$K$85="NEMA 12",IF(AND(C52&gt;'VIB SPEC SHEET'!$AL$85,AND(B52&lt;=$B$46,B52&lt;=$B$47,B52&lt;=$B$48,B52&lt;=$B$49,B52&lt;=$B$50,B52&lt;=$B$51,B52&lt;=$B$52,B52&lt;=$B$53,B52&lt;=$B$54,B52&lt;=$B$55,B52&lt;=$B$56,B52&lt;=$B$57,B52&lt;=$B$58,B52&lt;=$B$59,B52&lt;=$B$60,B52&lt;=$B$61,B52&lt;=$B$62,B52&lt;=$B$63,B52&lt;=$B$64,B52&lt;=$B$65,B52&lt;=$B$66,B52&lt;=$B$67,B52&lt;=$B$68,B52&lt;=$B$69,B52&lt;=$B$70,B52&lt;=$B$71,B52&lt;=$B$72,B52&lt;=$B$73,B52&lt;=$B$74,B52&lt;=$B$75)),CONCATENATE(D52,"&amp;"),""),"")</f>
      </c>
      <c r="B52" s="176" t="e">
        <f>IF((C52-'VIB SPEC SHEET'!$AL$85)&gt;0,C52-'VIB SPEC SHEET'!$AL$85,10^10)</f>
        <v>#VALUE!</v>
      </c>
      <c r="C52" s="231">
        <v>3</v>
      </c>
      <c r="D52" s="232" t="s">
        <v>227</v>
      </c>
      <c r="E52" s="233">
        <v>44559816</v>
      </c>
      <c r="F52" s="197"/>
      <c r="G52" s="174">
        <f>IF('VIB SPEC SHEET'!$K$85="NEMA 4",IF(AND(I52&gt;'VIB SPEC SHEET'!$AL$85,AND(H52&lt;=$H$46,H52&lt;=$H$47,H52&lt;=$H$48,H52&lt;=$H$49,H52&lt;=$H$50,H52&lt;=$H$51,H52&lt;=$H$52,H52&lt;=$H$53,H52&lt;=$H$54,H52&lt;=$H$55,H52&lt;=$H$56,H52&lt;=$H$57,H52&lt;=$H$58,H52&lt;=$H$59,H52&lt;=$H$60,H52&lt;=$H$61,H52&lt;=$H$62,H52&lt;=$H$63,H52&lt;=$H$64,H52&lt;=$H$65,H52&lt;=$H$66,H52&lt;=$H$67,H52&lt;=$H$68,H52&lt;=$H$69,H52&lt;=$H$70,H52&lt;=$H$71,H52&lt;=$H$72,H52&lt;=$H$73,H52&lt;=$H$74,H52&lt;=$H$75)),CONCATENATE(J52,"&amp;"),""),"")</f>
      </c>
      <c r="H52" s="176" t="e">
        <f>IF((I52-'VIB SPEC SHEET'!$AL$85)&gt;0,I52-'VIB SPEC SHEET'!$AL$85,10^10)</f>
        <v>#VALUE!</v>
      </c>
      <c r="I52" s="231"/>
      <c r="J52" s="232"/>
      <c r="K52" s="233"/>
      <c r="L52" s="197"/>
      <c r="M52" s="174">
        <f>IF('VIB SPEC SHEET'!$K$85="NEMA 4X SS",IF(AND(O52&gt;'VIB SPEC SHEET'!$AL$85,AND(N52&lt;=$N$46,N52&lt;=$N$47,N52&lt;=$N$48,N52&lt;=$N$49,N52&lt;=$N$50,N52&lt;=$N$51,N52&lt;=$N$52,N52&lt;=$N$53,N52&lt;=$N$54,N52&lt;=$N$55,N52&lt;=$N$56,N52&lt;=$N$57,N52&lt;=$N$58,N52&lt;=$N$59,N52&lt;=$N$60,N52&lt;=$N$61,N52&lt;=$N$62,N52&lt;=$N$63,N52&lt;=$N$64,N52&lt;=$N$65,N52&lt;=$N$66,N52&lt;=$N$67,N52&lt;=$N$68,N52&lt;=$N$69,N52&lt;=$N$70,N52&lt;=$N$71,N52&lt;=$N$72,N52&lt;=$N$73,N52&lt;=$N$74,N52&lt;=$N$75)),CONCATENATE(P52,"&amp;"),""),"")</f>
      </c>
      <c r="N52" s="176" t="e">
        <f>IF((O52-'VIB SPEC SHEET'!$AL$85)&gt;0,O52-'VIB SPEC SHEET'!$AL$85,10^10)</f>
        <v>#VALUE!</v>
      </c>
      <c r="O52" s="231"/>
      <c r="P52" s="232"/>
      <c r="Q52" s="233"/>
      <c r="S52" s="180"/>
      <c r="T52" s="180"/>
      <c r="U52" s="190"/>
      <c r="V52" s="198"/>
    </row>
    <row r="53" spans="1:22" ht="15">
      <c r="A53" s="174">
        <f>IF('VIB SPEC SHEET'!$K$85="NEMA 12",IF(AND(C53&gt;'VIB SPEC SHEET'!$AL$85,AND(B53&lt;=$B$46,B53&lt;=$B$47,B53&lt;=$B$48,B53&lt;=$B$49,B53&lt;=$B$50,B53&lt;=$B$51,B53&lt;=$B$52,B53&lt;=$B$53,B53&lt;=$B$54,B53&lt;=$B$55,B53&lt;=$B$56,B53&lt;=$B$57,B53&lt;=$B$58,B53&lt;=$B$59,B53&lt;=$B$60,B53&lt;=$B$61,B53&lt;=$B$62,B53&lt;=$B$63,B53&lt;=$B$64,B53&lt;=$B$65,B53&lt;=$B$66,B53&lt;=$B$67,B53&lt;=$B$68,B53&lt;=$B$69,B53&lt;=$B$70,B53&lt;=$B$71,B53&lt;=$B$72,B53&lt;=$B$73,B53&lt;=$B$74,B53&lt;=$B$75)),CONCATENATE(D53,"&amp;"),""),"")</f>
      </c>
      <c r="B53" s="176" t="e">
        <f>IF((C53-'VIB SPEC SHEET'!$AL$85)&gt;0,C53-'VIB SPEC SHEET'!$AL$85,10^10)</f>
        <v>#VALUE!</v>
      </c>
      <c r="C53" s="231">
        <v>3</v>
      </c>
      <c r="D53" s="232" t="s">
        <v>228</v>
      </c>
      <c r="E53" s="233">
        <v>44559817</v>
      </c>
      <c r="F53" s="197"/>
      <c r="G53" s="174">
        <f>IF('VIB SPEC SHEET'!$K$85="NEMA 4",IF(AND(I53&gt;'VIB SPEC SHEET'!$AL$85,AND(H53&lt;=$H$46,H53&lt;=$H$47,H53&lt;=$H$48,H53&lt;=$H$49,H53&lt;=$H$50,H53&lt;=$H$51,H53&lt;=$H$52,H53&lt;=$H$53,H53&lt;=$H$54,H53&lt;=$H$55,H53&lt;=$H$56,H53&lt;=$H$57,H53&lt;=$H$58,H53&lt;=$H$59,H53&lt;=$H$60,H53&lt;=$H$61,H53&lt;=$H$62,H53&lt;=$H$63,H53&lt;=$H$64,H53&lt;=$H$65,H53&lt;=$H$66,H53&lt;=$H$67,H53&lt;=$H$68,H53&lt;=$H$69,H53&lt;=$H$70,H53&lt;=$H$71,H53&lt;=$H$72,H53&lt;=$H$73,H53&lt;=$H$74,H53&lt;=$H$75)),CONCATENATE(J53,"&amp;"),""),"")</f>
      </c>
      <c r="H53" s="176" t="e">
        <f>IF((I53-'VIB SPEC SHEET'!$AL$85)&gt;0,I53-'VIB SPEC SHEET'!$AL$85,10^10)</f>
        <v>#VALUE!</v>
      </c>
      <c r="I53" s="231"/>
      <c r="J53" s="232"/>
      <c r="K53" s="233"/>
      <c r="L53" s="197"/>
      <c r="M53" s="174">
        <f>IF('VIB SPEC SHEET'!$K$85="NEMA 4X SS",IF(AND(O53&gt;'VIB SPEC SHEET'!$AL$85,AND(N53&lt;=$N$46,N53&lt;=$N$47,N53&lt;=$N$48,N53&lt;=$N$49,N53&lt;=$N$50,N53&lt;=$N$51,N53&lt;=$N$52,N53&lt;=$N$53,N53&lt;=$N$54,N53&lt;=$N$55,N53&lt;=$N$56,N53&lt;=$N$57,N53&lt;=$N$58,N53&lt;=$N$59,N53&lt;=$N$60,N53&lt;=$N$61,N53&lt;=$N$62,N53&lt;=$N$63,N53&lt;=$N$64,N53&lt;=$N$65,N53&lt;=$N$66,N53&lt;=$N$67,N53&lt;=$N$68,N53&lt;=$N$69,N53&lt;=$N$70,N53&lt;=$N$71,N53&lt;=$N$72,N53&lt;=$N$73,N53&lt;=$N$74,N53&lt;=$N$75)),CONCATENATE(P53,"&amp;"),""),"")</f>
      </c>
      <c r="N53" s="176" t="e">
        <f>IF((O53-'VIB SPEC SHEET'!$AL$85)&gt;0,O53-'VIB SPEC SHEET'!$AL$85,10^10)</f>
        <v>#VALUE!</v>
      </c>
      <c r="O53" s="231"/>
      <c r="P53" s="232"/>
      <c r="Q53" s="233"/>
      <c r="S53" s="180"/>
      <c r="T53" s="180"/>
      <c r="U53" s="190"/>
      <c r="V53" s="198"/>
    </row>
    <row r="54" spans="1:22" ht="15">
      <c r="A54" s="174">
        <f>IF('VIB SPEC SHEET'!$K$85="NEMA 12",IF(AND(C54&gt;'VIB SPEC SHEET'!$AL$85,AND(B54&lt;=$B$46,B54&lt;=$B$47,B54&lt;=$B$48,B54&lt;=$B$49,B54&lt;=$B$50,B54&lt;=$B$51,B54&lt;=$B$52,B54&lt;=$B$53,B54&lt;=$B$54,B54&lt;=$B$55,B54&lt;=$B$56,B54&lt;=$B$57,B54&lt;=$B$58,B54&lt;=$B$59,B54&lt;=$B$60,B54&lt;=$B$61,B54&lt;=$B$62,B54&lt;=$B$63,B54&lt;=$B$64,B54&lt;=$B$65,B54&lt;=$B$66,B54&lt;=$B$67,B54&lt;=$B$68,B54&lt;=$B$69,B54&lt;=$B$70,B54&lt;=$B$71,B54&lt;=$B$72,B54&lt;=$B$73,B54&lt;=$B$74,B54&lt;=$B$75)),CONCATENATE(D54,"&amp;"),""),"")</f>
      </c>
      <c r="B54" s="176" t="e">
        <f>IF((C54-'VIB SPEC SHEET'!$AL$85)&gt;0,C54-'VIB SPEC SHEET'!$AL$85,10^10)</f>
        <v>#VALUE!</v>
      </c>
      <c r="C54" s="231">
        <v>3</v>
      </c>
      <c r="D54" s="232" t="s">
        <v>229</v>
      </c>
      <c r="E54" s="233">
        <v>44559818</v>
      </c>
      <c r="F54" s="197"/>
      <c r="G54" s="174">
        <f>IF('VIB SPEC SHEET'!$K$85="NEMA 4",IF(AND(I54&gt;'VIB SPEC SHEET'!$AL$85,AND(H54&lt;=$H$46,H54&lt;=$H$47,H54&lt;=$H$48,H54&lt;=$H$49,H54&lt;=$H$50,H54&lt;=$H$51,H54&lt;=$H$52,H54&lt;=$H$53,H54&lt;=$H$54,H54&lt;=$H$55,H54&lt;=$H$56,H54&lt;=$H$57,H54&lt;=$H$58,H54&lt;=$H$59,H54&lt;=$H$60,H54&lt;=$H$61,H54&lt;=$H$62,H54&lt;=$H$63,H54&lt;=$H$64,H54&lt;=$H$65,H54&lt;=$H$66,H54&lt;=$H$67,H54&lt;=$H$68,H54&lt;=$H$69,H54&lt;=$H$70,H54&lt;=$H$71,H54&lt;=$H$72,H54&lt;=$H$73,H54&lt;=$H$74,H54&lt;=$H$75)),CONCATENATE(J54,"&amp;"),""),"")</f>
      </c>
      <c r="H54" s="176" t="e">
        <f>IF((I54-'VIB SPEC SHEET'!$AL$85)&gt;0,I54-'VIB SPEC SHEET'!$AL$85,10^10)</f>
        <v>#VALUE!</v>
      </c>
      <c r="I54" s="231"/>
      <c r="J54" s="232"/>
      <c r="K54" s="233"/>
      <c r="L54" s="197"/>
      <c r="M54" s="174">
        <f>IF('VIB SPEC SHEET'!$K$85="NEMA 4X SS",IF(AND(O54&gt;'VIB SPEC SHEET'!$AL$85,AND(N54&lt;=$N$46,N54&lt;=$N$47,N54&lt;=$N$48,N54&lt;=$N$49,N54&lt;=$N$50,N54&lt;=$N$51,N54&lt;=$N$52,N54&lt;=$N$53,N54&lt;=$N$54,N54&lt;=$N$55,N54&lt;=$N$56,N54&lt;=$N$57,N54&lt;=$N$58,N54&lt;=$N$59,N54&lt;=$N$60,N54&lt;=$N$61,N54&lt;=$N$62,N54&lt;=$N$63,N54&lt;=$N$64,N54&lt;=$N$65,N54&lt;=$N$66,N54&lt;=$N$67,N54&lt;=$N$68,N54&lt;=$N$69,N54&lt;=$N$70,N54&lt;=$N$71,N54&lt;=$N$72,N54&lt;=$N$73,N54&lt;=$N$74,N54&lt;=$N$75)),CONCATENATE(P54,"&amp;"),""),"")</f>
      </c>
      <c r="N54" s="176" t="e">
        <f>IF((O54-'VIB SPEC SHEET'!$AL$85)&gt;0,O54-'VIB SPEC SHEET'!$AL$85,10^10)</f>
        <v>#VALUE!</v>
      </c>
      <c r="O54" s="231"/>
      <c r="P54" s="232"/>
      <c r="Q54" s="233"/>
      <c r="S54" s="180"/>
      <c r="T54" s="180"/>
      <c r="U54" s="190"/>
      <c r="V54" s="198"/>
    </row>
    <row r="55" spans="1:22" ht="15">
      <c r="A55" s="174">
        <f>IF('VIB SPEC SHEET'!$K$85="NEMA 12",IF(AND(C55&gt;'VIB SPEC SHEET'!$AL$85,AND(B55&lt;=$B$46,B55&lt;=$B$47,B55&lt;=$B$48,B55&lt;=$B$49,B55&lt;=$B$50,B55&lt;=$B$51,B55&lt;=$B$52,B55&lt;=$B$53,B55&lt;=$B$54,B55&lt;=$B$55,B55&lt;=$B$56,B55&lt;=$B$57,B55&lt;=$B$58,B55&lt;=$B$59,B55&lt;=$B$60,B55&lt;=$B$61,B55&lt;=$B$62,B55&lt;=$B$63,B55&lt;=$B$64,B55&lt;=$B$65,B55&lt;=$B$66,B55&lt;=$B$67,B55&lt;=$B$68,B55&lt;=$B$69,B55&lt;=$B$70,B55&lt;=$B$71,B55&lt;=$B$72,B55&lt;=$B$73,B55&lt;=$B$74,B55&lt;=$B$75)),CONCATENATE(D55,"&amp;"),""),"")</f>
      </c>
      <c r="B55" s="176" t="e">
        <f>IF((C55-'VIB SPEC SHEET'!$AL$85)&gt;0,C55-'VIB SPEC SHEET'!$AL$85,10^10)</f>
        <v>#VALUE!</v>
      </c>
      <c r="C55" s="231"/>
      <c r="D55" s="232"/>
      <c r="E55" s="233"/>
      <c r="F55" s="197"/>
      <c r="G55" s="174">
        <f>IF('VIB SPEC SHEET'!$K$85="NEMA 4",IF(AND(I55&gt;'VIB SPEC SHEET'!$AL$85,AND(H55&lt;=$H$46,H55&lt;=$H$47,H55&lt;=$H$48,H55&lt;=$H$49,H55&lt;=$H$50,H55&lt;=$H$51,H55&lt;=$H$52,H55&lt;=$H$53,H55&lt;=$H$54,H55&lt;=$H$55,H55&lt;=$H$56,H55&lt;=$H$57,H55&lt;=$H$58,H55&lt;=$H$59,H55&lt;=$H$60,H55&lt;=$H$61,H55&lt;=$H$62,H55&lt;=$H$63,H55&lt;=$H$64,H55&lt;=$H$65,H55&lt;=$H$66,H55&lt;=$H$67,H55&lt;=$H$68,H55&lt;=$H$69,H55&lt;=$H$70,H55&lt;=$H$71,H55&lt;=$H$72,H55&lt;=$H$73,H55&lt;=$H$74,H55&lt;=$H$75)),CONCATENATE(J55,"&amp;"),""),"")</f>
      </c>
      <c r="H55" s="176" t="e">
        <f>IF((I55-'VIB SPEC SHEET'!$AL$85)&gt;0,I55-'VIB SPEC SHEET'!$AL$85,10^10)</f>
        <v>#VALUE!</v>
      </c>
      <c r="I55" s="231"/>
      <c r="J55" s="232"/>
      <c r="K55" s="233"/>
      <c r="L55" s="197"/>
      <c r="M55" s="174">
        <f>IF('VIB SPEC SHEET'!$K$85="NEMA 4X SS",IF(AND(O55&gt;'VIB SPEC SHEET'!$AL$85,AND(N55&lt;=$N$46,N55&lt;=$N$47,N55&lt;=$N$48,N55&lt;=$N$49,N55&lt;=$N$50,N55&lt;=$N$51,N55&lt;=$N$52,N55&lt;=$N$53,N55&lt;=$N$54,N55&lt;=$N$55,N55&lt;=$N$56,N55&lt;=$N$57,N55&lt;=$N$58,N55&lt;=$N$59,N55&lt;=$N$60,N55&lt;=$N$61,N55&lt;=$N$62,N55&lt;=$N$63,N55&lt;=$N$64,N55&lt;=$N$65,N55&lt;=$N$66,N55&lt;=$N$67,N55&lt;=$N$68,N55&lt;=$N$69,N55&lt;=$N$70,N55&lt;=$N$71,N55&lt;=$N$72,N55&lt;=$N$73,N55&lt;=$N$74,N55&lt;=$N$75)),CONCATENATE(P55,"&amp;"),""),"")</f>
      </c>
      <c r="N55" s="176" t="e">
        <f>IF((O55-'VIB SPEC SHEET'!$AL$85)&gt;0,O55-'VIB SPEC SHEET'!$AL$85,10^10)</f>
        <v>#VALUE!</v>
      </c>
      <c r="O55" s="231"/>
      <c r="P55" s="232"/>
      <c r="Q55" s="233"/>
      <c r="S55" s="180"/>
      <c r="T55" s="180"/>
      <c r="U55" s="190"/>
      <c r="V55" s="198"/>
    </row>
    <row r="56" spans="1:22" ht="15">
      <c r="A56" s="174">
        <f>IF('VIB SPEC SHEET'!$K$85="NEMA 12",IF(AND(C56&gt;'VIB SPEC SHEET'!$AL$85,AND(B56&lt;=$B$46,B56&lt;=$B$47,B56&lt;=$B$48,B56&lt;=$B$49,B56&lt;=$B$50,B56&lt;=$B$51,B56&lt;=$B$52,B56&lt;=$B$53,B56&lt;=$B$54,B56&lt;=$B$55,B56&lt;=$B$56,B56&lt;=$B$57,B56&lt;=$B$58,B56&lt;=$B$59,B56&lt;=$B$60,B56&lt;=$B$61,B56&lt;=$B$62,B56&lt;=$B$63,B56&lt;=$B$64,B56&lt;=$B$65,B56&lt;=$B$66,B56&lt;=$B$67,B56&lt;=$B$68,B56&lt;=$B$69,B56&lt;=$B$70,B56&lt;=$B$71,B56&lt;=$B$72,B56&lt;=$B$73,B56&lt;=$B$74,B56&lt;=$B$75)),CONCATENATE(D56,"&amp;"),""),"")</f>
      </c>
      <c r="B56" s="176" t="e">
        <f>IF((C56-'VIB SPEC SHEET'!$AL$85)&gt;0,C56-'VIB SPEC SHEET'!$AL$85,10^10)</f>
        <v>#VALUE!</v>
      </c>
      <c r="C56" s="231"/>
      <c r="D56" s="232"/>
      <c r="E56" s="233"/>
      <c r="F56" s="197"/>
      <c r="G56" s="174">
        <f>IF('VIB SPEC SHEET'!$K$85="NEMA 4",IF(AND(I56&gt;'VIB SPEC SHEET'!$AL$85,AND(H56&lt;=$H$46,H56&lt;=$H$47,H56&lt;=$H$48,H56&lt;=$H$49,H56&lt;=$H$50,H56&lt;=$H$51,H56&lt;=$H$52,H56&lt;=$H$53,H56&lt;=$H$54,H56&lt;=$H$55,H56&lt;=$H$56,H56&lt;=$H$57,H56&lt;=$H$58,H56&lt;=$H$59,H56&lt;=$H$60,H56&lt;=$H$61,H56&lt;=$H$62,H56&lt;=$H$63,H56&lt;=$H$64,H56&lt;=$H$65,H56&lt;=$H$66,H56&lt;=$H$67,H56&lt;=$H$68,H56&lt;=$H$69,H56&lt;=$H$70,H56&lt;=$H$71,H56&lt;=$H$72,H56&lt;=$H$73,H56&lt;=$H$74,H56&lt;=$H$75)),CONCATENATE(J56,"&amp;"),""),"")</f>
      </c>
      <c r="H56" s="176" t="e">
        <f>IF((I56-'VIB SPEC SHEET'!$AL$85)&gt;0,I56-'VIB SPEC SHEET'!$AL$85,10^10)</f>
        <v>#VALUE!</v>
      </c>
      <c r="I56" s="231"/>
      <c r="J56" s="232"/>
      <c r="K56" s="233"/>
      <c r="L56" s="197"/>
      <c r="M56" s="174">
        <f>IF('VIB SPEC SHEET'!$K$85="NEMA 4X SS",IF(AND(O56&gt;'VIB SPEC SHEET'!$AL$85,AND(N56&lt;=$N$46,N56&lt;=$N$47,N56&lt;=$N$48,N56&lt;=$N$49,N56&lt;=$N$50,N56&lt;=$N$51,N56&lt;=$N$52,N56&lt;=$N$53,N56&lt;=$N$54,N56&lt;=$N$55,N56&lt;=$N$56,N56&lt;=$N$57,N56&lt;=$N$58,N56&lt;=$N$59,N56&lt;=$N$60,N56&lt;=$N$61,N56&lt;=$N$62,N56&lt;=$N$63,N56&lt;=$N$64,N56&lt;=$N$65,N56&lt;=$N$66,N56&lt;=$N$67,N56&lt;=$N$68,N56&lt;=$N$69,N56&lt;=$N$70,N56&lt;=$N$71,N56&lt;=$N$72,N56&lt;=$N$73,N56&lt;=$N$74,N56&lt;=$N$75)),CONCATENATE(P56,"&amp;"),""),"")</f>
      </c>
      <c r="N56" s="176" t="e">
        <f>IF((O56-'VIB SPEC SHEET'!$AL$85)&gt;0,O56-'VIB SPEC SHEET'!$AL$85,10^10)</f>
        <v>#VALUE!</v>
      </c>
      <c r="O56" s="231"/>
      <c r="P56" s="232"/>
      <c r="Q56" s="233"/>
      <c r="S56" s="180"/>
      <c r="T56" s="180"/>
      <c r="U56" s="190"/>
      <c r="V56" s="198"/>
    </row>
    <row r="57" spans="1:22" ht="15">
      <c r="A57" s="174">
        <f>IF('VIB SPEC SHEET'!$K$85="NEMA 12",IF(AND(C57&gt;'VIB SPEC SHEET'!$AL$85,AND(B57&lt;=$B$46,B57&lt;=$B$47,B57&lt;=$B$48,B57&lt;=$B$49,B57&lt;=$B$50,B57&lt;=$B$51,B57&lt;=$B$52,B57&lt;=$B$53,B57&lt;=$B$54,B57&lt;=$B$55,B57&lt;=$B$56,B57&lt;=$B$57,B57&lt;=$B$58,B57&lt;=$B$59,B57&lt;=$B$60,B57&lt;=$B$61,B57&lt;=$B$62,B57&lt;=$B$63,B57&lt;=$B$64,B57&lt;=$B$65,B57&lt;=$B$66,B57&lt;=$B$67,B57&lt;=$B$68,B57&lt;=$B$69,B57&lt;=$B$70,B57&lt;=$B$71,B57&lt;=$B$72,B57&lt;=$B$73,B57&lt;=$B$74,B57&lt;=$B$75)),CONCATENATE(D57,"&amp;"),""),"")</f>
      </c>
      <c r="B57" s="176" t="e">
        <f>IF((C57-'VIB SPEC SHEET'!$AL$85)&gt;0,C57-'VIB SPEC SHEET'!$AL$85,10^10)</f>
        <v>#VALUE!</v>
      </c>
      <c r="C57" s="231"/>
      <c r="D57" s="232"/>
      <c r="E57" s="233"/>
      <c r="F57" s="197"/>
      <c r="G57" s="174">
        <f>IF('VIB SPEC SHEET'!$K$85="NEMA 4",IF(AND(I57&gt;'VIB SPEC SHEET'!$AL$85,AND(H57&lt;=$H$46,H57&lt;=$H$47,H57&lt;=$H$48,H57&lt;=$H$49,H57&lt;=$H$50,H57&lt;=$H$51,H57&lt;=$H$52,H57&lt;=$H$53,H57&lt;=$H$54,H57&lt;=$H$55,H57&lt;=$H$56,H57&lt;=$H$57,H57&lt;=$H$58,H57&lt;=$H$59,H57&lt;=$H$60,H57&lt;=$H$61,H57&lt;=$H$62,H57&lt;=$H$63,H57&lt;=$H$64,H57&lt;=$H$65,H57&lt;=$H$66,H57&lt;=$H$67,H57&lt;=$H$68,H57&lt;=$H$69,H57&lt;=$H$70,H57&lt;=$H$71,H57&lt;=$H$72,H57&lt;=$H$73,H57&lt;=$H$74,H57&lt;=$H$75)),CONCATENATE(J57,"&amp;"),""),"")</f>
      </c>
      <c r="H57" s="176" t="e">
        <f>IF((I57-'VIB SPEC SHEET'!$AL$85)&gt;0,I57-'VIB SPEC SHEET'!$AL$85,10^10)</f>
        <v>#VALUE!</v>
      </c>
      <c r="I57" s="231"/>
      <c r="J57" s="232"/>
      <c r="K57" s="233"/>
      <c r="L57" s="197"/>
      <c r="M57" s="174">
        <f>IF('VIB SPEC SHEET'!$K$85="NEMA 4X SS",IF(AND(O57&gt;'VIB SPEC SHEET'!$AL$85,AND(N57&lt;=$N$46,N57&lt;=$N$47,N57&lt;=$N$48,N57&lt;=$N$49,N57&lt;=$N$50,N57&lt;=$N$51,N57&lt;=$N$52,N57&lt;=$N$53,N57&lt;=$N$54,N57&lt;=$N$55,N57&lt;=$N$56,N57&lt;=$N$57,N57&lt;=$N$58,N57&lt;=$N$59,N57&lt;=$N$60,N57&lt;=$N$61,N57&lt;=$N$62,N57&lt;=$N$63,N57&lt;=$N$64,N57&lt;=$N$65,N57&lt;=$N$66,N57&lt;=$N$67,N57&lt;=$N$68,N57&lt;=$N$69,N57&lt;=$N$70,N57&lt;=$N$71,N57&lt;=$N$72,N57&lt;=$N$73,N57&lt;=$N$74,N57&lt;=$N$75)),CONCATENATE(P57,"&amp;"),""),"")</f>
      </c>
      <c r="N57" s="176" t="e">
        <f>IF((O57-'VIB SPEC SHEET'!$AL$85)&gt;0,O57-'VIB SPEC SHEET'!$AL$85,10^10)</f>
        <v>#VALUE!</v>
      </c>
      <c r="O57" s="231"/>
      <c r="P57" s="232"/>
      <c r="Q57" s="233"/>
      <c r="S57" s="180"/>
      <c r="T57" s="180"/>
      <c r="U57" s="190"/>
      <c r="V57" s="198"/>
    </row>
    <row r="58" spans="1:22" ht="15">
      <c r="A58" s="174">
        <f>IF('VIB SPEC SHEET'!$K$85="NEMA 12",IF(AND(C58&gt;'VIB SPEC SHEET'!$AL$85,AND(B58&lt;=$B$46,B58&lt;=$B$47,B58&lt;=$B$48,B58&lt;=$B$49,B58&lt;=$B$50,B58&lt;=$B$51,B58&lt;=$B$52,B58&lt;=$B$53,B58&lt;=$B$54,B58&lt;=$B$55,B58&lt;=$B$56,B58&lt;=$B$57,B58&lt;=$B$58,B58&lt;=$B$59,B58&lt;=$B$60,B58&lt;=$B$61,B58&lt;=$B$62,B58&lt;=$B$63,B58&lt;=$B$64,B58&lt;=$B$65,B58&lt;=$B$66,B58&lt;=$B$67,B58&lt;=$B$68,B58&lt;=$B$69,B58&lt;=$B$70,B58&lt;=$B$71,B58&lt;=$B$72,B58&lt;=$B$73,B58&lt;=$B$74,B58&lt;=$B$75)),CONCATENATE(D58,"&amp;"),""),"")</f>
      </c>
      <c r="B58" s="176" t="e">
        <f>IF((C58-'VIB SPEC SHEET'!$AL$85)&gt;0,C58-'VIB SPEC SHEET'!$AL$85,10^10)</f>
        <v>#VALUE!</v>
      </c>
      <c r="C58" s="231">
        <v>8</v>
      </c>
      <c r="D58" s="232" t="s">
        <v>230</v>
      </c>
      <c r="E58" s="233">
        <v>44559813</v>
      </c>
      <c r="F58" s="197"/>
      <c r="G58" s="174">
        <f>IF('VIB SPEC SHEET'!$K$85="NEMA 4",IF(AND(I58&gt;'VIB SPEC SHEET'!$AL$85,AND(H58&lt;=$H$46,H58&lt;=$H$47,H58&lt;=$H$48,H58&lt;=$H$49,H58&lt;=$H$50,H58&lt;=$H$51,H58&lt;=$H$52,H58&lt;=$H$53,H58&lt;=$H$54,H58&lt;=$H$55,H58&lt;=$H$56,H58&lt;=$H$57,H58&lt;=$H$58,H58&lt;=$H$59,H58&lt;=$H$60,H58&lt;=$H$61,H58&lt;=$H$62,H58&lt;=$H$63,H58&lt;=$H$64,H58&lt;=$H$65,H58&lt;=$H$66,H58&lt;=$H$67,H58&lt;=$H$68,H58&lt;=$H$69,H58&lt;=$H$70,H58&lt;=$H$71,H58&lt;=$H$72,H58&lt;=$H$73,H58&lt;=$H$74,H58&lt;=$H$75)),CONCATENATE(J58,"&amp;"),""),"")</f>
      </c>
      <c r="H58" s="176" t="e">
        <f>IF((I58-'VIB SPEC SHEET'!$AL$85)&gt;0,I58-'VIB SPEC SHEET'!$AL$85,10^10)</f>
        <v>#VALUE!</v>
      </c>
      <c r="I58" s="231"/>
      <c r="J58" s="232"/>
      <c r="K58" s="233"/>
      <c r="L58" s="197"/>
      <c r="M58" s="174">
        <f>IF('VIB SPEC SHEET'!$K$85="NEMA 4X SS",IF(AND(O58&gt;'VIB SPEC SHEET'!$AL$85,AND(N58&lt;=$N$46,N58&lt;=$N$47,N58&lt;=$N$48,N58&lt;=$N$49,N58&lt;=$N$50,N58&lt;=$N$51,N58&lt;=$N$52,N58&lt;=$N$53,N58&lt;=$N$54,N58&lt;=$N$55,N58&lt;=$N$56,N58&lt;=$N$57,N58&lt;=$N$58,N58&lt;=$N$59,N58&lt;=$N$60,N58&lt;=$N$61,N58&lt;=$N$62,N58&lt;=$N$63,N58&lt;=$N$64,N58&lt;=$N$65,N58&lt;=$N$66,N58&lt;=$N$67,N58&lt;=$N$68,N58&lt;=$N$69,N58&lt;=$N$70,N58&lt;=$N$71,N58&lt;=$N$72,N58&lt;=$N$73,N58&lt;=$N$74,N58&lt;=$N$75)),CONCATENATE(P58,"&amp;"),""),"")</f>
      </c>
      <c r="N58" s="176" t="e">
        <f>IF((O58-'VIB SPEC SHEET'!$AL$85)&gt;0,O58-'VIB SPEC SHEET'!$AL$85,10^10)</f>
        <v>#VALUE!</v>
      </c>
      <c r="O58" s="231"/>
      <c r="P58" s="232"/>
      <c r="Q58" s="233"/>
      <c r="S58" s="180"/>
      <c r="T58" s="180"/>
      <c r="U58" s="190"/>
      <c r="V58" s="198"/>
    </row>
    <row r="59" spans="1:22" ht="15">
      <c r="A59" s="174">
        <f>IF('VIB SPEC SHEET'!$K$85="NEMA 12",IF(AND(C59&gt;'VIB SPEC SHEET'!$AL$85,AND(B59&lt;=$B$46,B59&lt;=$B$47,B59&lt;=$B$48,B59&lt;=$B$49,B59&lt;=$B$50,B59&lt;=$B$51,B59&lt;=$B$52,B59&lt;=$B$53,B59&lt;=$B$54,B59&lt;=$B$55,B59&lt;=$B$56,B59&lt;=$B$57,B59&lt;=$B$58,B59&lt;=$B$59,B59&lt;=$B$60,B59&lt;=$B$61,B59&lt;=$B$62,B59&lt;=$B$63,B59&lt;=$B$64,B59&lt;=$B$65,B59&lt;=$B$66,B59&lt;=$B$67,B59&lt;=$B$68,B59&lt;=$B$69,B59&lt;=$B$70,B59&lt;=$B$71,B59&lt;=$B$72,B59&lt;=$B$73,B59&lt;=$B$74,B59&lt;=$B$75)),CONCATENATE(D59,"&amp;"),""),"")</f>
      </c>
      <c r="B59" s="176" t="e">
        <f>IF((C59-'VIB SPEC SHEET'!$AL$85)&gt;0,C59-'VIB SPEC SHEET'!$AL$85,10^10)</f>
        <v>#VALUE!</v>
      </c>
      <c r="C59" s="231">
        <v>8</v>
      </c>
      <c r="D59" s="232" t="s">
        <v>231</v>
      </c>
      <c r="E59" s="233">
        <v>44559814</v>
      </c>
      <c r="F59" s="197"/>
      <c r="G59" s="174">
        <f>IF('VIB SPEC SHEET'!$K$85="NEMA 4",IF(AND(I59&gt;'VIB SPEC SHEET'!$AL$85,AND(H59&lt;=$H$46,H59&lt;=$H$47,H59&lt;=$H$48,H59&lt;=$H$49,H59&lt;=$H$50,H59&lt;=$H$51,H59&lt;=$H$52,H59&lt;=$H$53,H59&lt;=$H$54,H59&lt;=$H$55,H59&lt;=$H$56,H59&lt;=$H$57,H59&lt;=$H$58,H59&lt;=$H$59,H59&lt;=$H$60,H59&lt;=$H$61,H59&lt;=$H$62,H59&lt;=$H$63,H59&lt;=$H$64,H59&lt;=$H$65,H59&lt;=$H$66,H59&lt;=$H$67,H59&lt;=$H$68,H59&lt;=$H$69,H59&lt;=$H$70,H59&lt;=$H$71,H59&lt;=$H$72,H59&lt;=$H$73,H59&lt;=$H$74,H59&lt;=$H$75)),CONCATENATE(J59,"&amp;"),""),"")</f>
      </c>
      <c r="H59" s="176" t="e">
        <f>IF((I59-'VIB SPEC SHEET'!$AL$85)&gt;0,I59-'VIB SPEC SHEET'!$AL$85,10^10)</f>
        <v>#VALUE!</v>
      </c>
      <c r="I59" s="231"/>
      <c r="J59" s="232"/>
      <c r="K59" s="233"/>
      <c r="L59" s="197"/>
      <c r="M59" s="174">
        <f>IF('VIB SPEC SHEET'!$K$85="NEMA 4X SS",IF(AND(O59&gt;'VIB SPEC SHEET'!$AL$85,AND(N59&lt;=$N$46,N59&lt;=$N$47,N59&lt;=$N$48,N59&lt;=$N$49,N59&lt;=$N$50,N59&lt;=$N$51,N59&lt;=$N$52,N59&lt;=$N$53,N59&lt;=$N$54,N59&lt;=$N$55,N59&lt;=$N$56,N59&lt;=$N$57,N59&lt;=$N$58,N59&lt;=$N$59,N59&lt;=$N$60,N59&lt;=$N$61,N59&lt;=$N$62,N59&lt;=$N$63,N59&lt;=$N$64,N59&lt;=$N$65,N59&lt;=$N$66,N59&lt;=$N$67,N59&lt;=$N$68,N59&lt;=$N$69,N59&lt;=$N$70,N59&lt;=$N$71,N59&lt;=$N$72,N59&lt;=$N$73,N59&lt;=$N$74,N59&lt;=$N$75)),CONCATENATE(P59,"&amp;"),""),"")</f>
      </c>
      <c r="N59" s="176" t="e">
        <f>IF((O59-'VIB SPEC SHEET'!$AL$85)&gt;0,O59-'VIB SPEC SHEET'!$AL$85,10^10)</f>
        <v>#VALUE!</v>
      </c>
      <c r="O59" s="231"/>
      <c r="P59" s="232"/>
      <c r="Q59" s="233"/>
      <c r="S59" s="180"/>
      <c r="T59" s="180"/>
      <c r="U59" s="190"/>
      <c r="V59" s="198"/>
    </row>
    <row r="60" spans="1:22" ht="15">
      <c r="A60" s="174">
        <f>IF('VIB SPEC SHEET'!$K$85="NEMA 12",IF(AND(C60&gt;'VIB SPEC SHEET'!$AL$85,AND(B60&lt;=$B$46,B60&lt;=$B$47,B60&lt;=$B$48,B60&lt;=$B$49,B60&lt;=$B$50,B60&lt;=$B$51,B60&lt;=$B$52,B60&lt;=$B$53,B60&lt;=$B$54,B60&lt;=$B$55,B60&lt;=$B$56,B60&lt;=$B$57,B60&lt;=$B$58,B60&lt;=$B$59,B60&lt;=$B$60,B60&lt;=$B$61,B60&lt;=$B$62,B60&lt;=$B$63,B60&lt;=$B$64,B60&lt;=$B$65,B60&lt;=$B$66,B60&lt;=$B$67,B60&lt;=$B$68,B60&lt;=$B$69,B60&lt;=$B$70,B60&lt;=$B$71,B60&lt;=$B$72,B60&lt;=$B$73,B60&lt;=$B$74,B60&lt;=$B$75)),CONCATENATE(D60,"&amp;"),""),"")</f>
      </c>
      <c r="B60" s="176" t="e">
        <f>IF((C60-'VIB SPEC SHEET'!$AL$85)&gt;0,C60-'VIB SPEC SHEET'!$AL$85,10^10)</f>
        <v>#VALUE!</v>
      </c>
      <c r="C60" s="231">
        <v>8</v>
      </c>
      <c r="D60" s="232" t="s">
        <v>232</v>
      </c>
      <c r="E60" s="233">
        <v>44559815</v>
      </c>
      <c r="F60" s="197"/>
      <c r="G60" s="174">
        <f>IF('VIB SPEC SHEET'!$K$85="NEMA 4",IF(AND(I60&gt;'VIB SPEC SHEET'!$AL$85,AND(H60&lt;=$H$46,H60&lt;=$H$47,H60&lt;=$H$48,H60&lt;=$H$49,H60&lt;=$H$50,H60&lt;=$H$51,H60&lt;=$H$52,H60&lt;=$H$53,H60&lt;=$H$54,H60&lt;=$H$55,H60&lt;=$H$56,H60&lt;=$H$57,H60&lt;=$H$58,H60&lt;=$H$59,H60&lt;=$H$60,H60&lt;=$H$61,H60&lt;=$H$62,H60&lt;=$H$63,H60&lt;=$H$64,H60&lt;=$H$65,H60&lt;=$H$66,H60&lt;=$H$67,H60&lt;=$H$68,H60&lt;=$H$69,H60&lt;=$H$70,H60&lt;=$H$71,H60&lt;=$H$72,H60&lt;=$H$73,H60&lt;=$H$74,H60&lt;=$H$75)),CONCATENATE(J60,"&amp;"),""),"")</f>
      </c>
      <c r="H60" s="176" t="e">
        <f>IF((I60-'VIB SPEC SHEET'!$AL$85)&gt;0,I60-'VIB SPEC SHEET'!$AL$85,10^10)</f>
        <v>#VALUE!</v>
      </c>
      <c r="I60" s="231"/>
      <c r="J60" s="232"/>
      <c r="K60" s="233"/>
      <c r="L60" s="197"/>
      <c r="M60" s="174">
        <f>IF('VIB SPEC SHEET'!$K$85="NEMA 4X SS",IF(AND(O60&gt;'VIB SPEC SHEET'!$AL$85,AND(N60&lt;=$N$46,N60&lt;=$N$47,N60&lt;=$N$48,N60&lt;=$N$49,N60&lt;=$N$50,N60&lt;=$N$51,N60&lt;=$N$52,N60&lt;=$N$53,N60&lt;=$N$54,N60&lt;=$N$55,N60&lt;=$N$56,N60&lt;=$N$57,N60&lt;=$N$58,N60&lt;=$N$59,N60&lt;=$N$60,N60&lt;=$N$61,N60&lt;=$N$62,N60&lt;=$N$63,N60&lt;=$N$64,N60&lt;=$N$65,N60&lt;=$N$66,N60&lt;=$N$67,N60&lt;=$N$68,N60&lt;=$N$69,N60&lt;=$N$70,N60&lt;=$N$71,N60&lt;=$N$72,N60&lt;=$N$73,N60&lt;=$N$74,N60&lt;=$N$75)),CONCATENATE(P60,"&amp;"),""),"")</f>
      </c>
      <c r="N60" s="176" t="e">
        <f>IF((O60-'VIB SPEC SHEET'!$AL$85)&gt;0,O60-'VIB SPEC SHEET'!$AL$85,10^10)</f>
        <v>#VALUE!</v>
      </c>
      <c r="O60" s="231"/>
      <c r="P60" s="232"/>
      <c r="Q60" s="233"/>
      <c r="S60" s="180"/>
      <c r="T60" s="180"/>
      <c r="U60" s="190"/>
      <c r="V60" s="198"/>
    </row>
    <row r="61" spans="1:22" ht="15">
      <c r="A61" s="174">
        <f>IF('VIB SPEC SHEET'!$K$85="NEMA 12",IF(AND(C61&gt;'VIB SPEC SHEET'!$AL$85,AND(B61&lt;=$B$46,B61&lt;=$B$47,B61&lt;=$B$48,B61&lt;=$B$49,B61&lt;=$B$50,B61&lt;=$B$51,B61&lt;=$B$52,B61&lt;=$B$53,B61&lt;=$B$54,B61&lt;=$B$55,B61&lt;=$B$56,B61&lt;=$B$57,B61&lt;=$B$58,B61&lt;=$B$59,B61&lt;=$B$60,B61&lt;=$B$61,B61&lt;=$B$62,B61&lt;=$B$63,B61&lt;=$B$64,B61&lt;=$B$65,B61&lt;=$B$66,B61&lt;=$B$67,B61&lt;=$B$68,B61&lt;=$B$69,B61&lt;=$B$70,B61&lt;=$B$71,B61&lt;=$B$72,B61&lt;=$B$73,B61&lt;=$B$74,B61&lt;=$B$75)),CONCATENATE(D61,"&amp;"),""),"")</f>
      </c>
      <c r="B61" s="176" t="e">
        <f>IF((C61-'VIB SPEC SHEET'!$AL$85)&gt;0,C61-'VIB SPEC SHEET'!$AL$85,10^10)</f>
        <v>#VALUE!</v>
      </c>
      <c r="C61" s="231"/>
      <c r="D61" s="232"/>
      <c r="E61" s="233"/>
      <c r="F61" s="197"/>
      <c r="G61" s="174">
        <f>IF('VIB SPEC SHEET'!$K$85="NEMA 4",IF(AND(I61&gt;'VIB SPEC SHEET'!$AL$85,AND(H61&lt;=$H$46,H61&lt;=$H$47,H61&lt;=$H$48,H61&lt;=$H$49,H61&lt;=$H$50,H61&lt;=$H$51,H61&lt;=$H$52,H61&lt;=$H$53,H61&lt;=$H$54,H61&lt;=$H$55,H61&lt;=$H$56,H61&lt;=$H$57,H61&lt;=$H$58,H61&lt;=$H$59,H61&lt;=$H$60,H61&lt;=$H$61,H61&lt;=$H$62,H61&lt;=$H$63,H61&lt;=$H$64,H61&lt;=$H$65,H61&lt;=$H$66,H61&lt;=$H$67,H61&lt;=$H$68,H61&lt;=$H$69,H61&lt;=$H$70,H61&lt;=$H$71,H61&lt;=$H$72,H61&lt;=$H$73,H61&lt;=$H$74,H61&lt;=$H$75)),CONCATENATE(J61,"&amp;"),""),"")</f>
      </c>
      <c r="H61" s="176" t="e">
        <f>IF((I61-'VIB SPEC SHEET'!$AL$85)&gt;0,I61-'VIB SPEC SHEET'!$AL$85,10^10)</f>
        <v>#VALUE!</v>
      </c>
      <c r="I61" s="231"/>
      <c r="J61" s="232"/>
      <c r="K61" s="233"/>
      <c r="L61" s="197"/>
      <c r="M61" s="174">
        <f>IF('VIB SPEC SHEET'!$K$85="NEMA 4X SS",IF(AND(O61&gt;'VIB SPEC SHEET'!$AL$85,AND(N61&lt;=$N$46,N61&lt;=$N$47,N61&lt;=$N$48,N61&lt;=$N$49,N61&lt;=$N$50,N61&lt;=$N$51,N61&lt;=$N$52,N61&lt;=$N$53,N61&lt;=$N$54,N61&lt;=$N$55,N61&lt;=$N$56,N61&lt;=$N$57,N61&lt;=$N$58,N61&lt;=$N$59,N61&lt;=$N$60,N61&lt;=$N$61,N61&lt;=$N$62,N61&lt;=$N$63,N61&lt;=$N$64,N61&lt;=$N$65,N61&lt;=$N$66,N61&lt;=$N$67,N61&lt;=$N$68,N61&lt;=$N$69,N61&lt;=$N$70,N61&lt;=$N$71,N61&lt;=$N$72,N61&lt;=$N$73,N61&lt;=$N$74,N61&lt;=$N$75)),CONCATENATE(P61,"&amp;"),""),"")</f>
      </c>
      <c r="N61" s="176" t="e">
        <f>IF((O61-'VIB SPEC SHEET'!$AL$85)&gt;0,O61-'VIB SPEC SHEET'!$AL$85,10^10)</f>
        <v>#VALUE!</v>
      </c>
      <c r="O61" s="231"/>
      <c r="P61" s="232"/>
      <c r="Q61" s="233"/>
      <c r="S61" s="180"/>
      <c r="T61" s="180"/>
      <c r="U61" s="190"/>
      <c r="V61" s="198"/>
    </row>
    <row r="62" spans="1:22" ht="15">
      <c r="A62" s="174">
        <f>IF('VIB SPEC SHEET'!$K$85="NEMA 12",IF(AND(C62&gt;'VIB SPEC SHEET'!$AL$85,AND(B62&lt;=$B$46,B62&lt;=$B$47,B62&lt;=$B$48,B62&lt;=$B$49,B62&lt;=$B$50,B62&lt;=$B$51,B62&lt;=$B$52,B62&lt;=$B$53,B62&lt;=$B$54,B62&lt;=$B$55,B62&lt;=$B$56,B62&lt;=$B$57,B62&lt;=$B$58,B62&lt;=$B$59,B62&lt;=$B$60,B62&lt;=$B$61,B62&lt;=$B$62,B62&lt;=$B$63,B62&lt;=$B$64,B62&lt;=$B$65,B62&lt;=$B$66,B62&lt;=$B$67,B62&lt;=$B$68,B62&lt;=$B$69,B62&lt;=$B$70,B62&lt;=$B$71,B62&lt;=$B$72,B62&lt;=$B$73,B62&lt;=$B$74,B62&lt;=$B$75)),CONCATENATE(D62,"&amp;"),""),"")</f>
      </c>
      <c r="B62" s="176" t="e">
        <f>IF((C62-'VIB SPEC SHEET'!$AL$85)&gt;0,C62-'VIB SPEC SHEET'!$AL$85,10^10)</f>
        <v>#VALUE!</v>
      </c>
      <c r="C62" s="231"/>
      <c r="D62" s="232"/>
      <c r="E62" s="233"/>
      <c r="F62" s="197"/>
      <c r="G62" s="174">
        <f>IF('VIB SPEC SHEET'!$K$85="NEMA 4",IF(AND(I62&gt;'VIB SPEC SHEET'!$AL$85,AND(H62&lt;=$H$46,H62&lt;=$H$47,H62&lt;=$H$48,H62&lt;=$H$49,H62&lt;=$H$50,H62&lt;=$H$51,H62&lt;=$H$52,H62&lt;=$H$53,H62&lt;=$H$54,H62&lt;=$H$55,H62&lt;=$H$56,H62&lt;=$H$57,H62&lt;=$H$58,H62&lt;=$H$59,H62&lt;=$H$60,H62&lt;=$H$61,H62&lt;=$H$62,H62&lt;=$H$63,H62&lt;=$H$64,H62&lt;=$H$65,H62&lt;=$H$66,H62&lt;=$H$67,H62&lt;=$H$68,H62&lt;=$H$69,H62&lt;=$H$70,H62&lt;=$H$71,H62&lt;=$H$72,H62&lt;=$H$73,H62&lt;=$H$74,H62&lt;=$H$75)),CONCATENATE(J62,"&amp;"),""),"")</f>
      </c>
      <c r="H62" s="176" t="e">
        <f>IF((I62-'VIB SPEC SHEET'!$AL$85)&gt;0,I62-'VIB SPEC SHEET'!$AL$85,10^10)</f>
        <v>#VALUE!</v>
      </c>
      <c r="I62" s="231"/>
      <c r="J62" s="232"/>
      <c r="K62" s="233"/>
      <c r="L62" s="197"/>
      <c r="M62" s="174">
        <f>IF('VIB SPEC SHEET'!$K$85="NEMA 4X SS",IF(AND(O62&gt;'VIB SPEC SHEET'!$AL$85,AND(N62&lt;=$N$46,N62&lt;=$N$47,N62&lt;=$N$48,N62&lt;=$N$49,N62&lt;=$N$50,N62&lt;=$N$51,N62&lt;=$N$52,N62&lt;=$N$53,N62&lt;=$N$54,N62&lt;=$N$55,N62&lt;=$N$56,N62&lt;=$N$57,N62&lt;=$N$58,N62&lt;=$N$59,N62&lt;=$N$60,N62&lt;=$N$61,N62&lt;=$N$62,N62&lt;=$N$63,N62&lt;=$N$64,N62&lt;=$N$65,N62&lt;=$N$66,N62&lt;=$N$67,N62&lt;=$N$68,N62&lt;=$N$69,N62&lt;=$N$70,N62&lt;=$N$71,N62&lt;=$N$72,N62&lt;=$N$73,N62&lt;=$N$74,N62&lt;=$N$75)),CONCATENATE(P62,"&amp;"),""),"")</f>
      </c>
      <c r="N62" s="176" t="e">
        <f>IF((O62-'VIB SPEC SHEET'!$AL$85)&gt;0,O62-'VIB SPEC SHEET'!$AL$85,10^10)</f>
        <v>#VALUE!</v>
      </c>
      <c r="O62" s="231"/>
      <c r="P62" s="232"/>
      <c r="Q62" s="233"/>
      <c r="S62" s="180"/>
      <c r="T62" s="180"/>
      <c r="U62" s="190"/>
      <c r="V62" s="198"/>
    </row>
    <row r="63" spans="1:22" ht="15">
      <c r="A63" s="174">
        <f>IF('VIB SPEC SHEET'!$K$85="NEMA 12",IF(AND(C63&gt;'VIB SPEC SHEET'!$AL$85,AND(B63&lt;=$B$46,B63&lt;=$B$47,B63&lt;=$B$48,B63&lt;=$B$49,B63&lt;=$B$50,B63&lt;=$B$51,B63&lt;=$B$52,B63&lt;=$B$53,B63&lt;=$B$54,B63&lt;=$B$55,B63&lt;=$B$56,B63&lt;=$B$57,B63&lt;=$B$58,B63&lt;=$B$59,B63&lt;=$B$60,B63&lt;=$B$61,B63&lt;=$B$62,B63&lt;=$B$63,B63&lt;=$B$64,B63&lt;=$B$65,B63&lt;=$B$66,B63&lt;=$B$67,B63&lt;=$B$68,B63&lt;=$B$69,B63&lt;=$B$70,B63&lt;=$B$71,B63&lt;=$B$72,B63&lt;=$B$73,B63&lt;=$B$74,B63&lt;=$B$75)),CONCATENATE(D63,"&amp;"),""),"")</f>
      </c>
      <c r="B63" s="176" t="e">
        <f>IF((C63-'VIB SPEC SHEET'!$AL$85)&gt;0,C63-'VIB SPEC SHEET'!$AL$85,10^10)</f>
        <v>#VALUE!</v>
      </c>
      <c r="C63" s="231"/>
      <c r="D63" s="232"/>
      <c r="E63" s="233"/>
      <c r="F63" s="197"/>
      <c r="G63" s="174">
        <f>IF('VIB SPEC SHEET'!$K$85="NEMA 4",IF(AND(I63&gt;'VIB SPEC SHEET'!$AL$85,AND(H63&lt;=$H$46,H63&lt;=$H$47,H63&lt;=$H$48,H63&lt;=$H$49,H63&lt;=$H$50,H63&lt;=$H$51,H63&lt;=$H$52,H63&lt;=$H$53,H63&lt;=$H$54,H63&lt;=$H$55,H63&lt;=$H$56,H63&lt;=$H$57,H63&lt;=$H$58,H63&lt;=$H$59,H63&lt;=$H$60,H63&lt;=$H$61,H63&lt;=$H$62,H63&lt;=$H$63,H63&lt;=$H$64,H63&lt;=$H$65,H63&lt;=$H$66,H63&lt;=$H$67,H63&lt;=$H$68,H63&lt;=$H$69,H63&lt;=$H$70,H63&lt;=$H$71,H63&lt;=$H$72,H63&lt;=$H$73,H63&lt;=$H$74,H63&lt;=$H$75)),CONCATENATE(J63,"&amp;"),""),"")</f>
      </c>
      <c r="H63" s="176" t="e">
        <f>IF((I63-'VIB SPEC SHEET'!$AL$85)&gt;0,I63-'VIB SPEC SHEET'!$AL$85,10^10)</f>
        <v>#VALUE!</v>
      </c>
      <c r="I63" s="231"/>
      <c r="J63" s="232"/>
      <c r="K63" s="233"/>
      <c r="L63" s="197"/>
      <c r="M63" s="174">
        <f>IF('VIB SPEC SHEET'!$K$85="NEMA 4X SS",IF(AND(O63&gt;'VIB SPEC SHEET'!$AL$85,AND(N63&lt;=$N$46,N63&lt;=$N$47,N63&lt;=$N$48,N63&lt;=$N$49,N63&lt;=$N$50,N63&lt;=$N$51,N63&lt;=$N$52,N63&lt;=$N$53,N63&lt;=$N$54,N63&lt;=$N$55,N63&lt;=$N$56,N63&lt;=$N$57,N63&lt;=$N$58,N63&lt;=$N$59,N63&lt;=$N$60,N63&lt;=$N$61,N63&lt;=$N$62,N63&lt;=$N$63,N63&lt;=$N$64,N63&lt;=$N$65,N63&lt;=$N$66,N63&lt;=$N$67,N63&lt;=$N$68,N63&lt;=$N$69,N63&lt;=$N$70,N63&lt;=$N$71,N63&lt;=$N$72,N63&lt;=$N$73,N63&lt;=$N$74,N63&lt;=$N$75)),CONCATENATE(P63,"&amp;"),""),"")</f>
      </c>
      <c r="N63" s="176" t="e">
        <f>IF((O63-'VIB SPEC SHEET'!$AL$85)&gt;0,O63-'VIB SPEC SHEET'!$AL$85,10^10)</f>
        <v>#VALUE!</v>
      </c>
      <c r="O63" s="231"/>
      <c r="P63" s="232"/>
      <c r="Q63" s="233"/>
      <c r="S63" s="180"/>
      <c r="T63" s="180"/>
      <c r="U63" s="190"/>
      <c r="V63" s="198"/>
    </row>
    <row r="64" spans="1:22" ht="15">
      <c r="A64" s="174">
        <f>IF('VIB SPEC SHEET'!$K$85="NEMA 12",IF(AND(C64&gt;'VIB SPEC SHEET'!$AL$85,AND(B64&lt;=$B$46,B64&lt;=$B$47,B64&lt;=$B$48,B64&lt;=$B$49,B64&lt;=$B$50,B64&lt;=$B$51,B64&lt;=$B$52,B64&lt;=$B$53,B64&lt;=$B$54,B64&lt;=$B$55,B64&lt;=$B$56,B64&lt;=$B$57,B64&lt;=$B$58,B64&lt;=$B$59,B64&lt;=$B$60,B64&lt;=$B$61,B64&lt;=$B$62,B64&lt;=$B$63,B64&lt;=$B$64,B64&lt;=$B$65,B64&lt;=$B$66,B64&lt;=$B$67,B64&lt;=$B$68,B64&lt;=$B$69,B64&lt;=$B$70,B64&lt;=$B$71,B64&lt;=$B$72,B64&lt;=$B$73,B64&lt;=$B$74,B64&lt;=$B$75)),CONCATENATE(D64,"&amp;"),""),"")</f>
      </c>
      <c r="B64" s="176" t="e">
        <f>IF((C64-'VIB SPEC SHEET'!$AL$85)&gt;0,C64-'VIB SPEC SHEET'!$AL$85,10^10)</f>
        <v>#VALUE!</v>
      </c>
      <c r="C64" s="231">
        <v>15</v>
      </c>
      <c r="D64" s="232" t="s">
        <v>84</v>
      </c>
      <c r="E64" s="233">
        <v>44559810</v>
      </c>
      <c r="F64" s="197"/>
      <c r="G64" s="174">
        <f>IF('VIB SPEC SHEET'!$K$85="NEMA 4",IF(AND(I64&gt;'VIB SPEC SHEET'!$AL$85,AND(H64&lt;=$H$46,H64&lt;=$H$47,H64&lt;=$H$48,H64&lt;=$H$49,H64&lt;=$H$50,H64&lt;=$H$51,H64&lt;=$H$52,H64&lt;=$H$53,H64&lt;=$H$54,H64&lt;=$H$55,H64&lt;=$H$56,H64&lt;=$H$57,H64&lt;=$H$58,H64&lt;=$H$59,H64&lt;=$H$60,H64&lt;=$H$61,H64&lt;=$H$62,H64&lt;=$H$63,H64&lt;=$H$64,H64&lt;=$H$65,H64&lt;=$H$66,H64&lt;=$H$67,H64&lt;=$H$68,H64&lt;=$H$69,H64&lt;=$H$70,H64&lt;=$H$71,H64&lt;=$H$72,H64&lt;=$H$73,H64&lt;=$H$74,H64&lt;=$H$75)),CONCATENATE(J64,"&amp;"),""),"")</f>
      </c>
      <c r="H64" s="176" t="e">
        <f>IF((I64-'VIB SPEC SHEET'!$AL$85)&gt;0,I64-'VIB SPEC SHEET'!$AL$85,10^10)</f>
        <v>#VALUE!</v>
      </c>
      <c r="I64" s="231"/>
      <c r="J64" s="232"/>
      <c r="K64" s="233"/>
      <c r="L64" s="197"/>
      <c r="M64" s="174">
        <f>IF('VIB SPEC SHEET'!$K$85="NEMA 4X SS",IF(AND(O64&gt;'VIB SPEC SHEET'!$AL$85,AND(N64&lt;=$N$46,N64&lt;=$N$47,N64&lt;=$N$48,N64&lt;=$N$49,N64&lt;=$N$50,N64&lt;=$N$51,N64&lt;=$N$52,N64&lt;=$N$53,N64&lt;=$N$54,N64&lt;=$N$55,N64&lt;=$N$56,N64&lt;=$N$57,N64&lt;=$N$58,N64&lt;=$N$59,N64&lt;=$N$60,N64&lt;=$N$61,N64&lt;=$N$62,N64&lt;=$N$63,N64&lt;=$N$64,N64&lt;=$N$65,N64&lt;=$N$66,N64&lt;=$N$67,N64&lt;=$N$68,N64&lt;=$N$69,N64&lt;=$N$70,N64&lt;=$N$71,N64&lt;=$N$72,N64&lt;=$N$73,N64&lt;=$N$74,N64&lt;=$N$75)),CONCATENATE(P64,"&amp;"),""),"")</f>
      </c>
      <c r="N64" s="176" t="e">
        <f>IF((O64-'VIB SPEC SHEET'!$AL$85)&gt;0,O64-'VIB SPEC SHEET'!$AL$85,10^10)</f>
        <v>#VALUE!</v>
      </c>
      <c r="O64" s="231"/>
      <c r="P64" s="232"/>
      <c r="Q64" s="233"/>
      <c r="S64" s="180"/>
      <c r="T64" s="180"/>
      <c r="U64" s="190"/>
      <c r="V64" s="198"/>
    </row>
    <row r="65" spans="1:22" ht="15">
      <c r="A65" s="174">
        <f>IF('VIB SPEC SHEET'!$K$85="NEMA 12",IF(AND(C65&gt;'VIB SPEC SHEET'!$AL$85,AND(B65&lt;=$B$46,B65&lt;=$B$47,B65&lt;=$B$48,B65&lt;=$B$49,B65&lt;=$B$50,B65&lt;=$B$51,B65&lt;=$B$52,B65&lt;=$B$53,B65&lt;=$B$54,B65&lt;=$B$55,B65&lt;=$B$56,B65&lt;=$B$57,B65&lt;=$B$58,B65&lt;=$B$59,B65&lt;=$B$60,B65&lt;=$B$61,B65&lt;=$B$62,B65&lt;=$B$63,B65&lt;=$B$64,B65&lt;=$B$65,B65&lt;=$B$66,B65&lt;=$B$67,B65&lt;=$B$68,B65&lt;=$B$69,B65&lt;=$B$70,B65&lt;=$B$71,B65&lt;=$B$72,B65&lt;=$B$73,B65&lt;=$B$74,B65&lt;=$B$75)),CONCATENATE(D65,"&amp;"),""),"")</f>
      </c>
      <c r="B65" s="176" t="e">
        <f>IF((C65-'VIB SPEC SHEET'!$AL$85)&gt;0,C65-'VIB SPEC SHEET'!$AL$85,10^10)</f>
        <v>#VALUE!</v>
      </c>
      <c r="C65" s="231">
        <v>15</v>
      </c>
      <c r="D65" s="232" t="s">
        <v>85</v>
      </c>
      <c r="E65" s="233">
        <v>44559811</v>
      </c>
      <c r="F65" s="197"/>
      <c r="G65" s="174">
        <f>IF('VIB SPEC SHEET'!$K$85="NEMA 4",IF(AND(I65&gt;'VIB SPEC SHEET'!$AL$85,AND(H65&lt;=$H$46,H65&lt;=$H$47,H65&lt;=$H$48,H65&lt;=$H$49,H65&lt;=$H$50,H65&lt;=$H$51,H65&lt;=$H$52,H65&lt;=$H$53,H65&lt;=$H$54,H65&lt;=$H$55,H65&lt;=$H$56,H65&lt;=$H$57,H65&lt;=$H$58,H65&lt;=$H$59,H65&lt;=$H$60,H65&lt;=$H$61,H65&lt;=$H$62,H65&lt;=$H$63,H65&lt;=$H$64,H65&lt;=$H$65,H65&lt;=$H$66,H65&lt;=$H$67,H65&lt;=$H$68,H65&lt;=$H$69,H65&lt;=$H$70,H65&lt;=$H$71,H65&lt;=$H$72,H65&lt;=$H$73,H65&lt;=$H$74,H65&lt;=$H$75)),CONCATENATE(J65,"&amp;"),""),"")</f>
      </c>
      <c r="H65" s="176" t="e">
        <f>IF((I65-'VIB SPEC SHEET'!$AL$85)&gt;0,I65-'VIB SPEC SHEET'!$AL$85,10^10)</f>
        <v>#VALUE!</v>
      </c>
      <c r="I65" s="231"/>
      <c r="J65" s="232"/>
      <c r="K65" s="233"/>
      <c r="L65" s="197"/>
      <c r="M65" s="174">
        <f>IF('VIB SPEC SHEET'!$K$85="NEMA 4X SS",IF(AND(O65&gt;'VIB SPEC SHEET'!$AL$85,AND(N65&lt;=$N$46,N65&lt;=$N$47,N65&lt;=$N$48,N65&lt;=$N$49,N65&lt;=$N$50,N65&lt;=$N$51,N65&lt;=$N$52,N65&lt;=$N$53,N65&lt;=$N$54,N65&lt;=$N$55,N65&lt;=$N$56,N65&lt;=$N$57,N65&lt;=$N$58,N65&lt;=$N$59,N65&lt;=$N$60,N65&lt;=$N$61,N65&lt;=$N$62,N65&lt;=$N$63,N65&lt;=$N$64,N65&lt;=$N$65,N65&lt;=$N$66,N65&lt;=$N$67,N65&lt;=$N$68,N65&lt;=$N$69,N65&lt;=$N$70,N65&lt;=$N$71,N65&lt;=$N$72,N65&lt;=$N$73,N65&lt;=$N$74,N65&lt;=$N$75)),CONCATENATE(P65,"&amp;"),""),"")</f>
      </c>
      <c r="N65" s="176" t="e">
        <f>IF((O65-'VIB SPEC SHEET'!$AL$85)&gt;0,O65-'VIB SPEC SHEET'!$AL$85,10^10)</f>
        <v>#VALUE!</v>
      </c>
      <c r="O65" s="231"/>
      <c r="P65" s="232"/>
      <c r="Q65" s="233"/>
      <c r="S65" s="180"/>
      <c r="T65" s="180"/>
      <c r="U65" s="190"/>
      <c r="V65" s="198"/>
    </row>
    <row r="66" spans="1:22" ht="15">
      <c r="A66" s="174">
        <f>IF('VIB SPEC SHEET'!$K$85="NEMA 12",IF(AND(C66&gt;'VIB SPEC SHEET'!$AL$85,AND(B66&lt;=$B$46,B66&lt;=$B$47,B66&lt;=$B$48,B66&lt;=$B$49,B66&lt;=$B$50,B66&lt;=$B$51,B66&lt;=$B$52,B66&lt;=$B$53,B66&lt;=$B$54,B66&lt;=$B$55,B66&lt;=$B$56,B66&lt;=$B$57,B66&lt;=$B$58,B66&lt;=$B$59,B66&lt;=$B$60,B66&lt;=$B$61,B66&lt;=$B$62,B66&lt;=$B$63,B66&lt;=$B$64,B66&lt;=$B$65,B66&lt;=$B$66,B66&lt;=$B$67,B66&lt;=$B$68,B66&lt;=$B$69,B66&lt;=$B$70,B66&lt;=$B$71,B66&lt;=$B$72,B66&lt;=$B$73,B66&lt;=$B$74,B66&lt;=$B$75)),CONCATENATE(D66,"&amp;"),""),"")</f>
      </c>
      <c r="B66" s="176" t="e">
        <f>IF((C66-'VIB SPEC SHEET'!$AL$85)&gt;0,C66-'VIB SPEC SHEET'!$AL$85,10^10)</f>
        <v>#VALUE!</v>
      </c>
      <c r="C66" s="231">
        <v>15</v>
      </c>
      <c r="D66" s="232" t="s">
        <v>86</v>
      </c>
      <c r="E66" s="233">
        <v>44559812</v>
      </c>
      <c r="F66" s="197"/>
      <c r="G66" s="174">
        <f>IF('VIB SPEC SHEET'!$K$85="NEMA 4",IF(AND(I66&gt;'VIB SPEC SHEET'!$AL$85,AND(H66&lt;=$H$46,H66&lt;=$H$47,H66&lt;=$H$48,H66&lt;=$H$49,H66&lt;=$H$50,H66&lt;=$H$51,H66&lt;=$H$52,H66&lt;=$H$53,H66&lt;=$H$54,H66&lt;=$H$55,H66&lt;=$H$56,H66&lt;=$H$57,H66&lt;=$H$58,H66&lt;=$H$59,H66&lt;=$H$60,H66&lt;=$H$61,H66&lt;=$H$62,H66&lt;=$H$63,H66&lt;=$H$64,H66&lt;=$H$65,H66&lt;=$H$66,H66&lt;=$H$67,H66&lt;=$H$68,H66&lt;=$H$69,H66&lt;=$H$70,H66&lt;=$H$71,H66&lt;=$H$72,H66&lt;=$H$73,H66&lt;=$H$74,H66&lt;=$H$75)),CONCATENATE(J66,"&amp;"),""),"")</f>
      </c>
      <c r="H66" s="176" t="e">
        <f>IF((I66-'VIB SPEC SHEET'!$AL$85)&gt;0,I66-'VIB SPEC SHEET'!$AL$85,10^10)</f>
        <v>#VALUE!</v>
      </c>
      <c r="I66" s="231"/>
      <c r="J66" s="232"/>
      <c r="K66" s="233"/>
      <c r="L66" s="197"/>
      <c r="M66" s="174">
        <f>IF('VIB SPEC SHEET'!$K$85="NEMA 4X SS",IF(AND(O66&gt;'VIB SPEC SHEET'!$AL$85,AND(N66&lt;=$N$46,N66&lt;=$N$47,N66&lt;=$N$48,N66&lt;=$N$49,N66&lt;=$N$50,N66&lt;=$N$51,N66&lt;=$N$52,N66&lt;=$N$53,N66&lt;=$N$54,N66&lt;=$N$55,N66&lt;=$N$56,N66&lt;=$N$57,N66&lt;=$N$58,N66&lt;=$N$59,N66&lt;=$N$60,N66&lt;=$N$61,N66&lt;=$N$62,N66&lt;=$N$63,N66&lt;=$N$64,N66&lt;=$N$65,N66&lt;=$N$66,N66&lt;=$N$67,N66&lt;=$N$68,N66&lt;=$N$69,N66&lt;=$N$70,N66&lt;=$N$71,N66&lt;=$N$72,N66&lt;=$N$73,N66&lt;=$N$74,N66&lt;=$N$75)),CONCATENATE(P66,"&amp;"),""),"")</f>
      </c>
      <c r="N66" s="176" t="e">
        <f>IF((O66-'VIB SPEC SHEET'!$AL$85)&gt;0,O66-'VIB SPEC SHEET'!$AL$85,10^10)</f>
        <v>#VALUE!</v>
      </c>
      <c r="O66" s="231"/>
      <c r="P66" s="232"/>
      <c r="Q66" s="233"/>
      <c r="S66" s="180"/>
      <c r="T66" s="180"/>
      <c r="U66" s="190"/>
      <c r="V66" s="198"/>
    </row>
    <row r="67" spans="1:22" ht="15">
      <c r="A67" s="174">
        <f>IF('VIB SPEC SHEET'!$K$85="NEMA 12",IF(AND(C67&gt;'VIB SPEC SHEET'!$AL$85,AND(B67&lt;=$B$46,B67&lt;=$B$47,B67&lt;=$B$48,B67&lt;=$B$49,B67&lt;=$B$50,B67&lt;=$B$51,B67&lt;=$B$52,B67&lt;=$B$53,B67&lt;=$B$54,B67&lt;=$B$55,B67&lt;=$B$56,B67&lt;=$B$57,B67&lt;=$B$58,B67&lt;=$B$59,B67&lt;=$B$60,B67&lt;=$B$61,B67&lt;=$B$62,B67&lt;=$B$63,B67&lt;=$B$64,B67&lt;=$B$65,B67&lt;=$B$66,B67&lt;=$B$67,B67&lt;=$B$68,B67&lt;=$B$69,B67&lt;=$B$70,B67&lt;=$B$71,B67&lt;=$B$72,B67&lt;=$B$73,B67&lt;=$B$74,B67&lt;=$B$75)),CONCATENATE(D67,"&amp;"),""),"")</f>
      </c>
      <c r="B67" s="176" t="e">
        <f>IF((C67-'VIB SPEC SHEET'!$AL$85)&gt;0,C67-'VIB SPEC SHEET'!$AL$85,10^10)</f>
        <v>#VALUE!</v>
      </c>
      <c r="C67" s="231"/>
      <c r="D67" s="232"/>
      <c r="E67" s="233"/>
      <c r="F67" s="197"/>
      <c r="G67" s="174">
        <f>IF('VIB SPEC SHEET'!$K$85="NEMA 4",IF(AND(I67&gt;'VIB SPEC SHEET'!$AL$85,AND(H67&lt;=$H$46,H67&lt;=$H$47,H67&lt;=$H$48,H67&lt;=$H$49,H67&lt;=$H$50,H67&lt;=$H$51,H67&lt;=$H$52,H67&lt;=$H$53,H67&lt;=$H$54,H67&lt;=$H$55,H67&lt;=$H$56,H67&lt;=$H$57,H67&lt;=$H$58,H67&lt;=$H$59,H67&lt;=$H$60,H67&lt;=$H$61,H67&lt;=$H$62,H67&lt;=$H$63,H67&lt;=$H$64,H67&lt;=$H$65,H67&lt;=$H$66,H67&lt;=$H$67,H67&lt;=$H$68,H67&lt;=$H$69,H67&lt;=$H$70,H67&lt;=$H$71,H67&lt;=$H$72,H67&lt;=$H$73,H67&lt;=$H$74,H67&lt;=$H$75)),CONCATENATE(J67,"&amp;"),""),"")</f>
      </c>
      <c r="H67" s="176" t="e">
        <f>IF((I67-'VIB SPEC SHEET'!$AL$85)&gt;0,I67-'VIB SPEC SHEET'!$AL$85,10^10)</f>
        <v>#VALUE!</v>
      </c>
      <c r="I67" s="231"/>
      <c r="J67" s="232"/>
      <c r="K67" s="233"/>
      <c r="L67" s="197"/>
      <c r="M67" s="174">
        <f>IF('VIB SPEC SHEET'!$K$85="NEMA 4X SS",IF(AND(O67&gt;'VIB SPEC SHEET'!$AL$85,AND(N67&lt;=$N$46,N67&lt;=$N$47,N67&lt;=$N$48,N67&lt;=$N$49,N67&lt;=$N$50,N67&lt;=$N$51,N67&lt;=$N$52,N67&lt;=$N$53,N67&lt;=$N$54,N67&lt;=$N$55,N67&lt;=$N$56,N67&lt;=$N$57,N67&lt;=$N$58,N67&lt;=$N$59,N67&lt;=$N$60,N67&lt;=$N$61,N67&lt;=$N$62,N67&lt;=$N$63,N67&lt;=$N$64,N67&lt;=$N$65,N67&lt;=$N$66,N67&lt;=$N$67,N67&lt;=$N$68,N67&lt;=$N$69,N67&lt;=$N$70,N67&lt;=$N$71,N67&lt;=$N$72,N67&lt;=$N$73,N67&lt;=$N$74,N67&lt;=$N$75)),CONCATENATE(P67,"&amp;"),""),"")</f>
      </c>
      <c r="N67" s="176" t="e">
        <f>IF((O67-'VIB SPEC SHEET'!$AL$85)&gt;0,O67-'VIB SPEC SHEET'!$AL$85,10^10)</f>
        <v>#VALUE!</v>
      </c>
      <c r="O67" s="231"/>
      <c r="P67" s="232"/>
      <c r="Q67" s="233"/>
      <c r="S67" s="180"/>
      <c r="T67" s="180"/>
      <c r="U67" s="190"/>
      <c r="V67" s="198"/>
    </row>
    <row r="68" spans="1:22" ht="15">
      <c r="A68" s="174">
        <f>IF('VIB SPEC SHEET'!$K$85="NEMA 12",IF(AND(C68&gt;'VIB SPEC SHEET'!$AL$85,AND(B68&lt;=$B$46,B68&lt;=$B$47,B68&lt;=$B$48,B68&lt;=$B$49,B68&lt;=$B$50,B68&lt;=$B$51,B68&lt;=$B$52,B68&lt;=$B$53,B68&lt;=$B$54,B68&lt;=$B$55,B68&lt;=$B$56,B68&lt;=$B$57,B68&lt;=$B$58,B68&lt;=$B$59,B68&lt;=$B$60,B68&lt;=$B$61,B68&lt;=$B$62,B68&lt;=$B$63,B68&lt;=$B$64,B68&lt;=$B$65,B68&lt;=$B$66,B68&lt;=$B$67,B68&lt;=$B$68,B68&lt;=$B$69,B68&lt;=$B$70,B68&lt;=$B$71,B68&lt;=$B$72,B68&lt;=$B$73,B68&lt;=$B$74,B68&lt;=$B$75)),CONCATENATE(D68,"&amp;"),""),"")</f>
      </c>
      <c r="B68" s="176" t="e">
        <f>IF((C68-'VIB SPEC SHEET'!$AL$85)&gt;0,C68-'VIB SPEC SHEET'!$AL$85,10^10)</f>
        <v>#VALUE!</v>
      </c>
      <c r="C68" s="231"/>
      <c r="D68" s="232"/>
      <c r="E68" s="233"/>
      <c r="F68" s="197"/>
      <c r="G68" s="174">
        <f>IF('VIB SPEC SHEET'!$K$85="NEMA 4",IF(AND(I68&gt;'VIB SPEC SHEET'!$AL$85,AND(H68&lt;=$H$46,H68&lt;=$H$47,H68&lt;=$H$48,H68&lt;=$H$49,H68&lt;=$H$50,H68&lt;=$H$51,H68&lt;=$H$52,H68&lt;=$H$53,H68&lt;=$H$54,H68&lt;=$H$55,H68&lt;=$H$56,H68&lt;=$H$57,H68&lt;=$H$58,H68&lt;=$H$59,H68&lt;=$H$60,H68&lt;=$H$61,H68&lt;=$H$62,H68&lt;=$H$63,H68&lt;=$H$64,H68&lt;=$H$65,H68&lt;=$H$66,H68&lt;=$H$67,H68&lt;=$H$68,H68&lt;=$H$69,H68&lt;=$H$70,H68&lt;=$H$71,H68&lt;=$H$72,H68&lt;=$H$73,H68&lt;=$H$74,H68&lt;=$H$75)),CONCATENATE(J68,"&amp;"),""),"")</f>
      </c>
      <c r="H68" s="176" t="e">
        <f>IF((I68-'VIB SPEC SHEET'!$AL$85)&gt;0,I68-'VIB SPEC SHEET'!$AL$85,10^10)</f>
        <v>#VALUE!</v>
      </c>
      <c r="I68" s="231"/>
      <c r="J68" s="232"/>
      <c r="K68" s="233"/>
      <c r="L68" s="197"/>
      <c r="M68" s="174">
        <f>IF('VIB SPEC SHEET'!$K$85="NEMA 4X SS",IF(AND(O68&gt;'VIB SPEC SHEET'!$AL$85,AND(N68&lt;=$N$46,N68&lt;=$N$47,N68&lt;=$N$48,N68&lt;=$N$49,N68&lt;=$N$50,N68&lt;=$N$51,N68&lt;=$N$52,N68&lt;=$N$53,N68&lt;=$N$54,N68&lt;=$N$55,N68&lt;=$N$56,N68&lt;=$N$57,N68&lt;=$N$58,N68&lt;=$N$59,N68&lt;=$N$60,N68&lt;=$N$61,N68&lt;=$N$62,N68&lt;=$N$63,N68&lt;=$N$64,N68&lt;=$N$65,N68&lt;=$N$66,N68&lt;=$N$67,N68&lt;=$N$68,N68&lt;=$N$69,N68&lt;=$N$70,N68&lt;=$N$71,N68&lt;=$N$72,N68&lt;=$N$73,N68&lt;=$N$74,N68&lt;=$N$75)),CONCATENATE(P68,"&amp;"),""),"")</f>
      </c>
      <c r="N68" s="176" t="e">
        <f>IF((O68-'VIB SPEC SHEET'!$AL$85)&gt;0,O68-'VIB SPEC SHEET'!$AL$85,10^10)</f>
        <v>#VALUE!</v>
      </c>
      <c r="O68" s="231"/>
      <c r="P68" s="232"/>
      <c r="Q68" s="233"/>
      <c r="S68" s="180"/>
      <c r="T68" s="180"/>
      <c r="U68" s="190"/>
      <c r="V68" s="198"/>
    </row>
    <row r="69" spans="1:22" ht="15">
      <c r="A69" s="174">
        <f>IF('VIB SPEC SHEET'!$K$85="NEMA 12",IF(AND(C69&gt;'VIB SPEC SHEET'!$AL$85,AND(B69&lt;=$B$46,B69&lt;=$B$47,B69&lt;=$B$48,B69&lt;=$B$49,B69&lt;=$B$50,B69&lt;=$B$51,B69&lt;=$B$52,B69&lt;=$B$53,B69&lt;=$B$54,B69&lt;=$B$55,B69&lt;=$B$56,B69&lt;=$B$57,B69&lt;=$B$58,B69&lt;=$B$59,B69&lt;=$B$60,B69&lt;=$B$61,B69&lt;=$B$62,B69&lt;=$B$63,B69&lt;=$B$64,B69&lt;=$B$65,B69&lt;=$B$66,B69&lt;=$B$67,B69&lt;=$B$68,B69&lt;=$B$69,B69&lt;=$B$70,B69&lt;=$B$71,B69&lt;=$B$72,B69&lt;=$B$73,B69&lt;=$B$74,B69&lt;=$B$75)),CONCATENATE(D69,"&amp;"),""),"")</f>
      </c>
      <c r="B69" s="176" t="e">
        <f>IF((C69-'VIB SPEC SHEET'!$AL$85)&gt;0,C69-'VIB SPEC SHEET'!$AL$85,10^10)</f>
        <v>#VALUE!</v>
      </c>
      <c r="C69" s="231"/>
      <c r="D69" s="232"/>
      <c r="E69" s="233"/>
      <c r="F69" s="197"/>
      <c r="G69" s="174">
        <f>IF('VIB SPEC SHEET'!$K$85="NEMA 4",IF(AND(I69&gt;'VIB SPEC SHEET'!$AL$85,AND(H69&lt;=$H$46,H69&lt;=$H$47,H69&lt;=$H$48,H69&lt;=$H$49,H69&lt;=$H$50,H69&lt;=$H$51,H69&lt;=$H$52,H69&lt;=$H$53,H69&lt;=$H$54,H69&lt;=$H$55,H69&lt;=$H$56,H69&lt;=$H$57,H69&lt;=$H$58,H69&lt;=$H$59,H69&lt;=$H$60,H69&lt;=$H$61,H69&lt;=$H$62,H69&lt;=$H$63,H69&lt;=$H$64,H69&lt;=$H$65,H69&lt;=$H$66,H69&lt;=$H$67,H69&lt;=$H$68,H69&lt;=$H$69,H69&lt;=$H$70,H69&lt;=$H$71,H69&lt;=$H$72,H69&lt;=$H$73,H69&lt;=$H$74,H69&lt;=$H$75)),CONCATENATE(J69,"&amp;"),""),"")</f>
      </c>
      <c r="H69" s="176" t="e">
        <f>IF((I69-'VIB SPEC SHEET'!$AL$85)&gt;0,I69-'VIB SPEC SHEET'!$AL$85,10^10)</f>
        <v>#VALUE!</v>
      </c>
      <c r="I69" s="231"/>
      <c r="J69" s="232"/>
      <c r="K69" s="233"/>
      <c r="L69" s="197"/>
      <c r="M69" s="174">
        <f>IF('VIB SPEC SHEET'!$K$85="NEMA 4X SS",IF(AND(O69&gt;'VIB SPEC SHEET'!$AL$85,AND(N69&lt;=$N$46,N69&lt;=$N$47,N69&lt;=$N$48,N69&lt;=$N$49,N69&lt;=$N$50,N69&lt;=$N$51,N69&lt;=$N$52,N69&lt;=$N$53,N69&lt;=$N$54,N69&lt;=$N$55,N69&lt;=$N$56,N69&lt;=$N$57,N69&lt;=$N$58,N69&lt;=$N$59,N69&lt;=$N$60,N69&lt;=$N$61,N69&lt;=$N$62,N69&lt;=$N$63,N69&lt;=$N$64,N69&lt;=$N$65,N69&lt;=$N$66,N69&lt;=$N$67,N69&lt;=$N$68,N69&lt;=$N$69,N69&lt;=$N$70,N69&lt;=$N$71,N69&lt;=$N$72,N69&lt;=$N$73,N69&lt;=$N$74,N69&lt;=$N$75)),CONCATENATE(P69,"&amp;"),""),"")</f>
      </c>
      <c r="N69" s="176" t="e">
        <f>IF((O69-'VIB SPEC SHEET'!$AL$85)&gt;0,O69-'VIB SPEC SHEET'!$AL$85,10^10)</f>
        <v>#VALUE!</v>
      </c>
      <c r="O69" s="231"/>
      <c r="P69" s="232"/>
      <c r="Q69" s="233"/>
      <c r="S69" s="180"/>
      <c r="T69" s="180"/>
      <c r="U69" s="190"/>
      <c r="V69" s="198"/>
    </row>
    <row r="70" spans="1:22" ht="15">
      <c r="A70" s="174">
        <f>IF('VIB SPEC SHEET'!$K$85="NEMA 12",IF(AND(C70&gt;'VIB SPEC SHEET'!$AL$85,AND(B70&lt;=$B$46,B70&lt;=$B$47,B70&lt;=$B$48,B70&lt;=$B$49,B70&lt;=$B$50,B70&lt;=$B$51,B70&lt;=$B$52,B70&lt;=$B$53,B70&lt;=$B$54,B70&lt;=$B$55,B70&lt;=$B$56,B70&lt;=$B$57,B70&lt;=$B$58,B70&lt;=$B$59,B70&lt;=$B$60,B70&lt;=$B$61,B70&lt;=$B$62,B70&lt;=$B$63,B70&lt;=$B$64,B70&lt;=$B$65,B70&lt;=$B$66,B70&lt;=$B$67,B70&lt;=$B$68,B70&lt;=$B$69,B70&lt;=$B$70,B70&lt;=$B$71,B70&lt;=$B$72,B70&lt;=$B$73,B70&lt;=$B$74,B70&lt;=$B$75)),CONCATENATE(D70,"&amp;"),""),"")</f>
      </c>
      <c r="B70" s="176" t="e">
        <f>IF((C70-'VIB SPEC SHEET'!$AL$85)&gt;0,C70-'VIB SPEC SHEET'!$AL$85,10^10)</f>
        <v>#VALUE!</v>
      </c>
      <c r="C70" s="231"/>
      <c r="D70" s="232"/>
      <c r="E70" s="233"/>
      <c r="F70" s="197"/>
      <c r="G70" s="174">
        <f>IF('VIB SPEC SHEET'!$K$85="NEMA 4",IF(AND(I70&gt;'VIB SPEC SHEET'!$AL$85,AND(H70&lt;=$H$46,H70&lt;=$H$47,H70&lt;=$H$48,H70&lt;=$H$49,H70&lt;=$H$50,H70&lt;=$H$51,H70&lt;=$H$52,H70&lt;=$H$53,H70&lt;=$H$54,H70&lt;=$H$55,H70&lt;=$H$56,H70&lt;=$H$57,H70&lt;=$H$58,H70&lt;=$H$59,H70&lt;=$H$60,H70&lt;=$H$61,H70&lt;=$H$62,H70&lt;=$H$63,H70&lt;=$H$64,H70&lt;=$H$65,H70&lt;=$H$66,H70&lt;=$H$67,H70&lt;=$H$68,H70&lt;=$H$69,H70&lt;=$H$70,H70&lt;=$H$71,H70&lt;=$H$72,H70&lt;=$H$73,H70&lt;=$H$74,H70&lt;=$H$75)),CONCATENATE(J70,"&amp;"),""),"")</f>
      </c>
      <c r="H70" s="176" t="e">
        <f>IF((I70-'VIB SPEC SHEET'!$AL$85)&gt;0,I70-'VIB SPEC SHEET'!$AL$85,10^10)</f>
        <v>#VALUE!</v>
      </c>
      <c r="I70" s="231"/>
      <c r="J70" s="232"/>
      <c r="K70" s="233"/>
      <c r="L70" s="197"/>
      <c r="M70" s="174">
        <f>IF('VIB SPEC SHEET'!$K$85="NEMA 4X SS",IF(AND(O70&gt;'VIB SPEC SHEET'!$AL$85,AND(N70&lt;=$N$46,N70&lt;=$N$47,N70&lt;=$N$48,N70&lt;=$N$49,N70&lt;=$N$50,N70&lt;=$N$51,N70&lt;=$N$52,N70&lt;=$N$53,N70&lt;=$N$54,N70&lt;=$N$55,N70&lt;=$N$56,N70&lt;=$N$57,N70&lt;=$N$58,N70&lt;=$N$59,N70&lt;=$N$60,N70&lt;=$N$61,N70&lt;=$N$62,N70&lt;=$N$63,N70&lt;=$N$64,N70&lt;=$N$65,N70&lt;=$N$66,N70&lt;=$N$67,N70&lt;=$N$68,N70&lt;=$N$69,N70&lt;=$N$70,N70&lt;=$N$71,N70&lt;=$N$72,N70&lt;=$N$73,N70&lt;=$N$74,N70&lt;=$N$75)),CONCATENATE(P70,"&amp;"),""),"")</f>
      </c>
      <c r="N70" s="176" t="e">
        <f>IF((O70-'VIB SPEC SHEET'!$AL$85)&gt;0,O70-'VIB SPEC SHEET'!$AL$85,10^10)</f>
        <v>#VALUE!</v>
      </c>
      <c r="O70" s="231"/>
      <c r="P70" s="232"/>
      <c r="Q70" s="233"/>
      <c r="S70" s="180"/>
      <c r="T70" s="180"/>
      <c r="U70" s="190"/>
      <c r="V70" s="198"/>
    </row>
    <row r="71" spans="1:22" ht="15">
      <c r="A71" s="174">
        <f>IF('VIB SPEC SHEET'!$K$85="NEMA 12",IF(AND(C71&gt;'VIB SPEC SHEET'!$AL$85,AND(B71&lt;=$B$46,B71&lt;=$B$47,B71&lt;=$B$48,B71&lt;=$B$49,B71&lt;=$B$50,B71&lt;=$B$51,B71&lt;=$B$52,B71&lt;=$B$53,B71&lt;=$B$54,B71&lt;=$B$55,B71&lt;=$B$56,B71&lt;=$B$57,B71&lt;=$B$58,B71&lt;=$B$59,B71&lt;=$B$60,B71&lt;=$B$61,B71&lt;=$B$62,B71&lt;=$B$63,B71&lt;=$B$64,B71&lt;=$B$65,B71&lt;=$B$66,B71&lt;=$B$67,B71&lt;=$B$68,B71&lt;=$B$69,B71&lt;=$B$70,B71&lt;=$B$71,B71&lt;=$B$72,B71&lt;=$B$73,B71&lt;=$B$74,B71&lt;=$B$75)),CONCATENATE(D71,"&amp;"),""),"")</f>
      </c>
      <c r="B71" s="176" t="e">
        <f>IF((C71-'VIB SPEC SHEET'!$AL$85)&gt;0,C71-'VIB SPEC SHEET'!$AL$85,10^10)</f>
        <v>#VALUE!</v>
      </c>
      <c r="C71" s="231"/>
      <c r="D71" s="232"/>
      <c r="E71" s="233"/>
      <c r="F71" s="197"/>
      <c r="G71" s="174">
        <f>IF('VIB SPEC SHEET'!$K$85="NEMA 4",IF(AND(I71&gt;'VIB SPEC SHEET'!$AL$85,AND(H71&lt;=$H$46,H71&lt;=$H$47,H71&lt;=$H$48,H71&lt;=$H$49,H71&lt;=$H$50,H71&lt;=$H$51,H71&lt;=$H$52,H71&lt;=$H$53,H71&lt;=$H$54,H71&lt;=$H$55,H71&lt;=$H$56,H71&lt;=$H$57,H71&lt;=$H$58,H71&lt;=$H$59,H71&lt;=$H$60,H71&lt;=$H$61,H71&lt;=$H$62,H71&lt;=$H$63,H71&lt;=$H$64,H71&lt;=$H$65,H71&lt;=$H$66,H71&lt;=$H$67,H71&lt;=$H$68,H71&lt;=$H$69,H71&lt;=$H$70,H71&lt;=$H$71,H71&lt;=$H$72,H71&lt;=$H$73,H71&lt;=$H$74,H71&lt;=$H$75)),CONCATENATE(J71,"&amp;"),""),"")</f>
      </c>
      <c r="H71" s="176" t="e">
        <f>IF((I71-'VIB SPEC SHEET'!$AL$85)&gt;0,I71-'VIB SPEC SHEET'!$AL$85,10^10)</f>
        <v>#VALUE!</v>
      </c>
      <c r="I71" s="231"/>
      <c r="J71" s="232"/>
      <c r="K71" s="233"/>
      <c r="L71" s="197"/>
      <c r="M71" s="174">
        <f>IF('VIB SPEC SHEET'!$K$85="NEMA 4X SS",IF(AND(O71&gt;'VIB SPEC SHEET'!$AL$85,AND(N71&lt;=$N$46,N71&lt;=$N$47,N71&lt;=$N$48,N71&lt;=$N$49,N71&lt;=$N$50,N71&lt;=$N$51,N71&lt;=$N$52,N71&lt;=$N$53,N71&lt;=$N$54,N71&lt;=$N$55,N71&lt;=$N$56,N71&lt;=$N$57,N71&lt;=$N$58,N71&lt;=$N$59,N71&lt;=$N$60,N71&lt;=$N$61,N71&lt;=$N$62,N71&lt;=$N$63,N71&lt;=$N$64,N71&lt;=$N$65,N71&lt;=$N$66,N71&lt;=$N$67,N71&lt;=$N$68,N71&lt;=$N$69,N71&lt;=$N$70,N71&lt;=$N$71,N71&lt;=$N$72,N71&lt;=$N$73,N71&lt;=$N$74,N71&lt;=$N$75)),CONCATENATE(P71,"&amp;"),""),"")</f>
      </c>
      <c r="N71" s="176" t="e">
        <f>IF((O71-'VIB SPEC SHEET'!$AL$85)&gt;0,O71-'VIB SPEC SHEET'!$AL$85,10^10)</f>
        <v>#VALUE!</v>
      </c>
      <c r="O71" s="231"/>
      <c r="P71" s="232"/>
      <c r="Q71" s="233"/>
      <c r="S71" s="180"/>
      <c r="T71" s="180"/>
      <c r="U71" s="190"/>
      <c r="V71" s="198"/>
    </row>
    <row r="72" spans="1:22" ht="15">
      <c r="A72" s="174">
        <f>IF('VIB SPEC SHEET'!$K$85="NEMA 12",IF(AND(C72&gt;'VIB SPEC SHEET'!$AL$85,AND(B72&lt;=$B$46,B72&lt;=$B$47,B72&lt;=$B$48,B72&lt;=$B$49,B72&lt;=$B$50,B72&lt;=$B$51,B72&lt;=$B$52,B72&lt;=$B$53,B72&lt;=$B$54,B72&lt;=$B$55,B72&lt;=$B$56,B72&lt;=$B$57,B72&lt;=$B$58,B72&lt;=$B$59,B72&lt;=$B$60,B72&lt;=$B$61,B72&lt;=$B$62,B72&lt;=$B$63,B72&lt;=$B$64,B72&lt;=$B$65,B72&lt;=$B$66,B72&lt;=$B$67,B72&lt;=$B$68,B72&lt;=$B$69,B72&lt;=$B$70,B72&lt;=$B$71,B72&lt;=$B$72,B72&lt;=$B$73,B72&lt;=$B$74,B72&lt;=$B$75)),CONCATENATE(D72,"&amp;"),""),"")</f>
      </c>
      <c r="B72" s="176" t="e">
        <f>IF((C72-'VIB SPEC SHEET'!$AL$85)&gt;0,C72-'VIB SPEC SHEET'!$AL$85,10^10)</f>
        <v>#VALUE!</v>
      </c>
      <c r="C72" s="231"/>
      <c r="D72" s="232"/>
      <c r="E72" s="233"/>
      <c r="F72" s="197"/>
      <c r="G72" s="174">
        <f>IF('VIB SPEC SHEET'!$K$85="NEMA 4",IF(AND(I72&gt;'VIB SPEC SHEET'!$AL$85,AND(H72&lt;=$H$46,H72&lt;=$H$47,H72&lt;=$H$48,H72&lt;=$H$49,H72&lt;=$H$50,H72&lt;=$H$51,H72&lt;=$H$52,H72&lt;=$H$53,H72&lt;=$H$54,H72&lt;=$H$55,H72&lt;=$H$56,H72&lt;=$H$57,H72&lt;=$H$58,H72&lt;=$H$59,H72&lt;=$H$60,H72&lt;=$H$61,H72&lt;=$H$62,H72&lt;=$H$63,H72&lt;=$H$64,H72&lt;=$H$65,H72&lt;=$H$66,H72&lt;=$H$67,H72&lt;=$H$68,H72&lt;=$H$69,H72&lt;=$H$70,H72&lt;=$H$71,H72&lt;=$H$72,H72&lt;=$H$73,H72&lt;=$H$74,H72&lt;=$H$75)),CONCATENATE(J72,"&amp;"),""),"")</f>
      </c>
      <c r="H72" s="176" t="e">
        <f>IF((I72-'VIB SPEC SHEET'!$AL$85)&gt;0,I72-'VIB SPEC SHEET'!$AL$85,10^10)</f>
        <v>#VALUE!</v>
      </c>
      <c r="I72" s="231"/>
      <c r="J72" s="232"/>
      <c r="K72" s="233"/>
      <c r="L72" s="197"/>
      <c r="M72" s="174">
        <f>IF('VIB SPEC SHEET'!$K$85="NEMA 4X SS",IF(AND(O72&gt;'VIB SPEC SHEET'!$AL$85,AND(N72&lt;=$N$46,N72&lt;=$N$47,N72&lt;=$N$48,N72&lt;=$N$49,N72&lt;=$N$50,N72&lt;=$N$51,N72&lt;=$N$52,N72&lt;=$N$53,N72&lt;=$N$54,N72&lt;=$N$55,N72&lt;=$N$56,N72&lt;=$N$57,N72&lt;=$N$58,N72&lt;=$N$59,N72&lt;=$N$60,N72&lt;=$N$61,N72&lt;=$N$62,N72&lt;=$N$63,N72&lt;=$N$64,N72&lt;=$N$65,N72&lt;=$N$66,N72&lt;=$N$67,N72&lt;=$N$68,N72&lt;=$N$69,N72&lt;=$N$70,N72&lt;=$N$71,N72&lt;=$N$72,N72&lt;=$N$73,N72&lt;=$N$74,N72&lt;=$N$75)),CONCATENATE(P72,"&amp;"),""),"")</f>
      </c>
      <c r="N72" s="176" t="e">
        <f>IF((O72-'VIB SPEC SHEET'!$AL$85)&gt;0,O72-'VIB SPEC SHEET'!$AL$85,10^10)</f>
        <v>#VALUE!</v>
      </c>
      <c r="O72" s="231"/>
      <c r="P72" s="232"/>
      <c r="Q72" s="233"/>
      <c r="S72" s="180"/>
      <c r="T72" s="180"/>
      <c r="U72" s="190"/>
      <c r="V72" s="198"/>
    </row>
    <row r="73" spans="1:22" ht="15">
      <c r="A73" s="174">
        <f>IF('VIB SPEC SHEET'!$K$85="NEMA 12",IF(AND(C73&gt;'VIB SPEC SHEET'!$AL$85,AND(B73&lt;=$B$46,B73&lt;=$B$47,B73&lt;=$B$48,B73&lt;=$B$49,B73&lt;=$B$50,B73&lt;=$B$51,B73&lt;=$B$52,B73&lt;=$B$53,B73&lt;=$B$54,B73&lt;=$B$55,B73&lt;=$B$56,B73&lt;=$B$57,B73&lt;=$B$58,B73&lt;=$B$59,B73&lt;=$B$60,B73&lt;=$B$61,B73&lt;=$B$62,B73&lt;=$B$63,B73&lt;=$B$64,B73&lt;=$B$65,B73&lt;=$B$66,B73&lt;=$B$67,B73&lt;=$B$68,B73&lt;=$B$69,B73&lt;=$B$70,B73&lt;=$B$71,B73&lt;=$B$72,B73&lt;=$B$73,B73&lt;=$B$74,B73&lt;=$B$75)),CONCATENATE(D73,"&amp;"),""),"")</f>
      </c>
      <c r="B73" s="176" t="e">
        <f>IF((C73-'VIB SPEC SHEET'!$AL$85)&gt;0,C73-'VIB SPEC SHEET'!$AL$85,10^10)</f>
        <v>#VALUE!</v>
      </c>
      <c r="C73" s="231"/>
      <c r="D73" s="232"/>
      <c r="E73" s="233"/>
      <c r="F73" s="197"/>
      <c r="G73" s="174">
        <f>IF('VIB SPEC SHEET'!$K$85="NEMA 4",IF(AND(I73&gt;'VIB SPEC SHEET'!$AL$85,AND(H73&lt;=$H$46,H73&lt;=$H$47,H73&lt;=$H$48,H73&lt;=$H$49,H73&lt;=$H$50,H73&lt;=$H$51,H73&lt;=$H$52,H73&lt;=$H$53,H73&lt;=$H$54,H73&lt;=$H$55,H73&lt;=$H$56,H73&lt;=$H$57,H73&lt;=$H$58,H73&lt;=$H$59,H73&lt;=$H$60,H73&lt;=$H$61,H73&lt;=$H$62,H73&lt;=$H$63,H73&lt;=$H$64,H73&lt;=$H$65,H73&lt;=$H$66,H73&lt;=$H$67,H73&lt;=$H$68,H73&lt;=$H$69,H73&lt;=$H$70,H73&lt;=$H$71,H73&lt;=$H$72,H73&lt;=$H$73,H73&lt;=$H$74,H73&lt;=$H$75)),CONCATENATE(J73,"&amp;"),""),"")</f>
      </c>
      <c r="H73" s="176" t="e">
        <f>IF((I73-'VIB SPEC SHEET'!$AL$85)&gt;0,I73-'VIB SPEC SHEET'!$AL$85,10^10)</f>
        <v>#VALUE!</v>
      </c>
      <c r="I73" s="231"/>
      <c r="J73" s="232"/>
      <c r="K73" s="233"/>
      <c r="L73" s="197"/>
      <c r="M73" s="174">
        <f>IF('VIB SPEC SHEET'!$K$85="NEMA 4X SS",IF(AND(O73&gt;'VIB SPEC SHEET'!$AL$85,AND(N73&lt;=$N$46,N73&lt;=$N$47,N73&lt;=$N$48,N73&lt;=$N$49,N73&lt;=$N$50,N73&lt;=$N$51,N73&lt;=$N$52,N73&lt;=$N$53,N73&lt;=$N$54,N73&lt;=$N$55,N73&lt;=$N$56,N73&lt;=$N$57,N73&lt;=$N$58,N73&lt;=$N$59,N73&lt;=$N$60,N73&lt;=$N$61,N73&lt;=$N$62,N73&lt;=$N$63,N73&lt;=$N$64,N73&lt;=$N$65,N73&lt;=$N$66,N73&lt;=$N$67,N73&lt;=$N$68,N73&lt;=$N$69,N73&lt;=$N$70,N73&lt;=$N$71,N73&lt;=$N$72,N73&lt;=$N$73,N73&lt;=$N$74,N73&lt;=$N$75)),CONCATENATE(P73,"&amp;"),""),"")</f>
      </c>
      <c r="N73" s="176" t="e">
        <f>IF((O73-'VIB SPEC SHEET'!$AL$85)&gt;0,O73-'VIB SPEC SHEET'!$AL$85,10^10)</f>
        <v>#VALUE!</v>
      </c>
      <c r="O73" s="231"/>
      <c r="P73" s="232"/>
      <c r="Q73" s="233"/>
      <c r="S73" s="180"/>
      <c r="T73" s="180"/>
      <c r="U73" s="190"/>
      <c r="V73" s="198"/>
    </row>
    <row r="74" spans="1:22" ht="15">
      <c r="A74" s="174">
        <f>IF('VIB SPEC SHEET'!$K$85="NEMA 12",IF(AND(C74&gt;'VIB SPEC SHEET'!$AL$85,AND(B74&lt;=$B$46,B74&lt;=$B$47,B74&lt;=$B$48,B74&lt;=$B$49,B74&lt;=$B$50,B74&lt;=$B$51,B74&lt;=$B$52,B74&lt;=$B$53,B74&lt;=$B$54,B74&lt;=$B$55,B74&lt;=$B$56,B74&lt;=$B$57,B74&lt;=$B$58,B74&lt;=$B$59,B74&lt;=$B$60,B74&lt;=$B$61,B74&lt;=$B$62,B74&lt;=$B$63,B74&lt;=$B$64,B74&lt;=$B$65,B74&lt;=$B$66,B74&lt;=$B$67,B74&lt;=$B$68,B74&lt;=$B$69,B74&lt;=$B$70,B74&lt;=$B$71,B74&lt;=$B$72,B74&lt;=$B$73,B74&lt;=$B$74,B74&lt;=$B$75)),CONCATENATE(D74,"&amp;"),""),"")</f>
      </c>
      <c r="B74" s="176" t="e">
        <f>IF((C74-'VIB SPEC SHEET'!$AL$85)&gt;0,C74-'VIB SPEC SHEET'!$AL$85,10^10)</f>
        <v>#VALUE!</v>
      </c>
      <c r="C74" s="231"/>
      <c r="D74" s="232"/>
      <c r="E74" s="233"/>
      <c r="F74" s="197"/>
      <c r="G74" s="174">
        <f>IF('VIB SPEC SHEET'!$K$85="NEMA 4",IF(AND(I74&gt;'VIB SPEC SHEET'!$AL$85,AND(H74&lt;=$H$46,H74&lt;=$H$47,H74&lt;=$H$48,H74&lt;=$H$49,H74&lt;=$H$50,H74&lt;=$H$51,H74&lt;=$H$52,H74&lt;=$H$53,H74&lt;=$H$54,H74&lt;=$H$55,H74&lt;=$H$56,H74&lt;=$H$57,H74&lt;=$H$58,H74&lt;=$H$59,H74&lt;=$H$60,H74&lt;=$H$61,H74&lt;=$H$62,H74&lt;=$H$63,H74&lt;=$H$64,H74&lt;=$H$65,H74&lt;=$H$66,H74&lt;=$H$67,H74&lt;=$H$68,H74&lt;=$H$69,H74&lt;=$H$70,H74&lt;=$H$71,H74&lt;=$H$72,H74&lt;=$H$73,H74&lt;=$H$74,H74&lt;=$H$75)),CONCATENATE(J74,"&amp;"),""),"")</f>
      </c>
      <c r="H74" s="176" t="e">
        <f>IF((I74-'VIB SPEC SHEET'!$AL$85)&gt;0,I74-'VIB SPEC SHEET'!$AL$85,10^10)</f>
        <v>#VALUE!</v>
      </c>
      <c r="I74" s="231"/>
      <c r="J74" s="232"/>
      <c r="K74" s="233"/>
      <c r="L74" s="197"/>
      <c r="M74" s="174">
        <f>IF('VIB SPEC SHEET'!$K$85="NEMA 4X SS",IF(AND(O74&gt;'VIB SPEC SHEET'!$AL$85,AND(N74&lt;=$N$46,N74&lt;=$N$47,N74&lt;=$N$48,N74&lt;=$N$49,N74&lt;=$N$50,N74&lt;=$N$51,N74&lt;=$N$52,N74&lt;=$N$53,N74&lt;=$N$54,N74&lt;=$N$55,N74&lt;=$N$56,N74&lt;=$N$57,N74&lt;=$N$58,N74&lt;=$N$59,N74&lt;=$N$60,N74&lt;=$N$61,N74&lt;=$N$62,N74&lt;=$N$63,N74&lt;=$N$64,N74&lt;=$N$65,N74&lt;=$N$66,N74&lt;=$N$67,N74&lt;=$N$68,N74&lt;=$N$69,N74&lt;=$N$70,N74&lt;=$N$71,N74&lt;=$N$72,N74&lt;=$N$73,N74&lt;=$N$74,N74&lt;=$N$75)),CONCATENATE(P74,"&amp;"),""),"")</f>
      </c>
      <c r="N74" s="176" t="e">
        <f>IF((O74-'VIB SPEC SHEET'!$AL$85)&gt;0,O74-'VIB SPEC SHEET'!$AL$85,10^10)</f>
        <v>#VALUE!</v>
      </c>
      <c r="O74" s="231"/>
      <c r="P74" s="232"/>
      <c r="Q74" s="233"/>
      <c r="S74" s="180"/>
      <c r="T74" s="180"/>
      <c r="U74" s="190"/>
      <c r="V74" s="198"/>
    </row>
    <row r="75" spans="1:22" ht="15.75" thickBot="1">
      <c r="A75" s="174">
        <f>IF('VIB SPEC SHEET'!$K$85="NEMA 12",IF(AND(C75&gt;'VIB SPEC SHEET'!$AL$85,AND(B75&lt;=$B$46,B75&lt;=$B$47,B75&lt;=$B$48,B75&lt;=$B$49,B75&lt;=$B$50,B75&lt;=$B$51,B75&lt;=$B$52,B75&lt;=$B$53,B75&lt;=$B$54,B75&lt;=$B$55,B75&lt;=$B$56,B75&lt;=$B$57,B75&lt;=$B$58,B75&lt;=$B$59,B75&lt;=$B$60,B75&lt;=$B$61,B75&lt;=$B$62,B75&lt;=$B$63,B75&lt;=$B$64,B75&lt;=$B$65,B75&lt;=$B$66,B75&lt;=$B$67,B75&lt;=$B$68,B75&lt;=$B$69,B75&lt;=$B$70,B75&lt;=$B$71,B75&lt;=$B$72,B75&lt;=$B$73,B75&lt;=$B$74,B75&lt;=$B$75)),CONCATENATE(D75,"&amp;"),""),"")</f>
      </c>
      <c r="B75" s="176" t="e">
        <f>IF((C75-'VIB SPEC SHEET'!$AL$85)&gt;0,C75-'VIB SPEC SHEET'!$AL$85,10^10)</f>
        <v>#VALUE!</v>
      </c>
      <c r="C75" s="234"/>
      <c r="D75" s="235"/>
      <c r="E75" s="236"/>
      <c r="F75" s="197"/>
      <c r="G75" s="174">
        <f>IF('VIB SPEC SHEET'!$K$85="NEMA 4",IF(AND(I75&gt;'VIB SPEC SHEET'!$AL$85,AND(H75&lt;=$H$46,H75&lt;=$H$47,H75&lt;=$H$48,H75&lt;=$H$49,H75&lt;=$H$50,H75&lt;=$H$51,H75&lt;=$H$52,H75&lt;=$H$53,H75&lt;=$H$54,H75&lt;=$H$55,H75&lt;=$H$56,H75&lt;=$H$57,H75&lt;=$H$58,H75&lt;=$H$59,H75&lt;=$H$60,H75&lt;=$H$61,H75&lt;=$H$62,H75&lt;=$H$63,H75&lt;=$H$64,H75&lt;=$H$65,H75&lt;=$H$66,H75&lt;=$H$67,H75&lt;=$H$68,H75&lt;=$H$69,H75&lt;=$H$70,H75&lt;=$H$71,H75&lt;=$H$72,H75&lt;=$H$73,H75&lt;=$H$74,H75&lt;=$H$75)),CONCATENATE(J75,"&amp;"),""),"")</f>
      </c>
      <c r="H75" s="176" t="e">
        <f>IF((I75-'VIB SPEC SHEET'!$AL$85)&gt;0,I75-'VIB SPEC SHEET'!$AL$85,10^10)</f>
        <v>#VALUE!</v>
      </c>
      <c r="I75" s="234"/>
      <c r="J75" s="235"/>
      <c r="K75" s="236"/>
      <c r="L75" s="197"/>
      <c r="M75" s="174">
        <f>IF('VIB SPEC SHEET'!$K$85="NEMA 4X SS",IF(AND(O75&gt;'VIB SPEC SHEET'!$AL$85,AND(N75&lt;=$N$46,N75&lt;=$N$47,N75&lt;=$N$48,N75&lt;=$N$49,N75&lt;=$N$50,N75&lt;=$N$51,N75&lt;=$N$52,N75&lt;=$N$53,N75&lt;=$N$54,N75&lt;=$N$55,N75&lt;=$N$56,N75&lt;=$N$57,N75&lt;=$N$58,N75&lt;=$N$59,N75&lt;=$N$60,N75&lt;=$N$61,N75&lt;=$N$62,N75&lt;=$N$63,N75&lt;=$N$64,N75&lt;=$N$65,N75&lt;=$N$66,N75&lt;=$N$67,N75&lt;=$N$68,N75&lt;=$N$69,N75&lt;=$N$70,N75&lt;=$N$71,N75&lt;=$N$72,N75&lt;=$N$73,N75&lt;=$N$74,N75&lt;=$N$75)),CONCATENATE(P75,"&amp;"),""),"")</f>
      </c>
      <c r="N75" s="176" t="e">
        <f>IF((O75-'VIB SPEC SHEET'!$AL$85)&gt;0,O75-'VIB SPEC SHEET'!$AL$85,10^10)</f>
        <v>#VALUE!</v>
      </c>
      <c r="O75" s="234"/>
      <c r="P75" s="235"/>
      <c r="Q75" s="236"/>
      <c r="S75" s="180"/>
      <c r="T75" s="180"/>
      <c r="U75" s="190"/>
      <c r="V75" s="198"/>
    </row>
    <row r="76" spans="1:22" ht="15">
      <c r="A76" s="180"/>
      <c r="B76" s="180"/>
      <c r="C76" s="180"/>
      <c r="D76" s="190"/>
      <c r="E76" s="198"/>
      <c r="F76" s="197"/>
      <c r="G76" s="180"/>
      <c r="H76" s="180"/>
      <c r="I76" s="180"/>
      <c r="J76" s="190"/>
      <c r="K76" s="198"/>
      <c r="L76" s="197"/>
      <c r="M76" s="180"/>
      <c r="N76" s="180"/>
      <c r="O76" s="180"/>
      <c r="P76" s="190"/>
      <c r="Q76" s="198"/>
      <c r="S76" s="180"/>
      <c r="T76" s="180"/>
      <c r="U76" s="190"/>
      <c r="V76" s="198"/>
    </row>
    <row r="77" spans="1:22" ht="15">
      <c r="A77" s="180"/>
      <c r="B77" s="180"/>
      <c r="C77" s="180"/>
      <c r="D77" s="190"/>
      <c r="E77" s="198"/>
      <c r="F77" s="197"/>
      <c r="G77" s="180"/>
      <c r="H77" s="180"/>
      <c r="I77" s="180"/>
      <c r="J77" s="190"/>
      <c r="K77" s="198"/>
      <c r="L77" s="197"/>
      <c r="M77" s="180"/>
      <c r="N77" s="180"/>
      <c r="O77" s="180"/>
      <c r="P77" s="190"/>
      <c r="Q77" s="198"/>
      <c r="S77" s="180"/>
      <c r="T77" s="180"/>
      <c r="U77" s="190"/>
      <c r="V77" s="198"/>
    </row>
    <row r="78" spans="1:22" ht="15.75" thickBot="1">
      <c r="A78" s="180"/>
      <c r="B78" s="180"/>
      <c r="C78" s="180"/>
      <c r="D78" s="190"/>
      <c r="E78" s="198"/>
      <c r="F78" s="197"/>
      <c r="L78" s="197"/>
      <c r="M78" s="180"/>
      <c r="N78" s="180"/>
      <c r="O78" s="180"/>
      <c r="P78" s="190"/>
      <c r="Q78" s="198"/>
      <c r="S78" s="180"/>
      <c r="T78" s="180"/>
      <c r="U78" s="190"/>
      <c r="V78" s="198"/>
    </row>
    <row r="79" spans="1:22" ht="16.5" thickBot="1">
      <c r="A79" s="203" t="s">
        <v>214</v>
      </c>
      <c r="B79" s="138"/>
      <c r="C79" s="180"/>
      <c r="D79" s="190"/>
      <c r="E79" s="198"/>
      <c r="F79" s="197"/>
      <c r="G79" s="203" t="s">
        <v>214</v>
      </c>
      <c r="H79" s="204"/>
      <c r="I79" s="180"/>
      <c r="J79" s="190"/>
      <c r="K79" s="198"/>
      <c r="L79" s="197"/>
      <c r="M79" s="203" t="s">
        <v>214</v>
      </c>
      <c r="N79" s="138"/>
      <c r="O79" s="180"/>
      <c r="P79" s="190"/>
      <c r="Q79" s="198"/>
      <c r="S79" s="180"/>
      <c r="T79" s="180"/>
      <c r="U79" s="190"/>
      <c r="V79" s="198"/>
    </row>
    <row r="80" spans="1:22" ht="15">
      <c r="A80" s="175"/>
      <c r="B80" s="176" t="e">
        <f>IF((C80-'VIB SPEC SHEET'!$AL$85)&gt;0,C80-'VIB SPEC SHEET'!$AL$85,10^10)</f>
        <v>#VALUE!</v>
      </c>
      <c r="C80" s="237"/>
      <c r="D80" s="238"/>
      <c r="E80" s="239"/>
      <c r="F80" s="197"/>
      <c r="G80" s="175">
        <f>IF('VIB SPEC SHEET'!$K$85="NEMA 4",IF(AND(I80&gt;'VIB SPEC SHEET'!$AL$85,AND(H80&lt;=$H$80,H80&lt;=$H$81,H80&lt;=$H$82,H80&lt;=$H$83,H80&lt;=$H$84,H80&lt;=$H$85,H80&lt;=$H$86,H80&lt;=$H$87,H80&lt;=$H$88,H80&lt;=$H$89,H80&lt;=$H$90,H80&lt;=$H$91,H80&lt;=$H$92,H80&lt;=$H$93,H80&lt;=$H$94,H80&lt;=$H$95,H80&lt;=$H$96,H80&lt;=$H$97,H80&lt;=$H$98,H80&lt;=$H$99,H80&lt;=$H$100,H80&lt;=$H$101,H80&lt;=$H$102,H80&lt;=$H$103,H80&lt;=$H$104,H80&lt;=$H$105,H80&lt;=$H$106,H80&lt;=$H$107,H80&lt;=$H$108,H80&lt;=$H$109)),CONCATENATE(J80,"&amp;"),""),"")</f>
      </c>
      <c r="H80" s="176" t="e">
        <f>IF((I80-'VIB SPEC SHEET'!$AL$85)&gt;0,I80-'VIB SPEC SHEET'!$AL$85,10^10)</f>
        <v>#VALUE!</v>
      </c>
      <c r="I80" s="237"/>
      <c r="J80" s="238"/>
      <c r="K80" s="239"/>
      <c r="L80" s="197"/>
      <c r="M80" s="175">
        <f>IF('VIB SPEC SHEET'!$K$85="NEMA 4X SS",IF(AND(O80&gt;'VIB SPEC SHEET'!$AL$85,AND(N80&lt;=$N$80,N80&lt;=$N$81,N80&lt;=$N$82,N80&lt;=$N$83,N80&lt;=$N$84,N80&lt;=$N$85,N80&lt;=$N$86,N80&lt;=$N$87,N80&lt;=$N$88,N80&lt;=$N$89,N80&lt;=$N$90,N80&lt;=$N$91,N80&lt;=$N$92,N80&lt;=$N$93,N80&lt;=$N$94,N80&lt;=$N$95,N80&lt;=$N$96,N80&lt;=$N$97,N80&lt;=$N$98,N80&lt;=$N$99,N80&lt;=$N$100,N80&lt;=$N$101,N80&lt;=$N$102,N80&lt;=$N$103,N80&lt;=$N$104,N80&lt;=$N$105,N80&lt;=$N$106,N80&lt;=$N$107,N80&lt;=$N$108,N80&lt;=$N$109)),CONCATENATE(P80,"&amp;"),""),"")</f>
      </c>
      <c r="N80" s="176" t="e">
        <f>IF((O80-'VIB SPEC SHEET'!$AL$85)&gt;0,O80-'VIB SPEC SHEET'!$AL$85,10^10)</f>
        <v>#VALUE!</v>
      </c>
      <c r="O80" s="237"/>
      <c r="P80" s="238"/>
      <c r="Q80" s="239"/>
      <c r="S80" s="180"/>
      <c r="T80" s="180"/>
      <c r="U80" s="190"/>
      <c r="V80" s="198"/>
    </row>
    <row r="81" spans="1:22" ht="15">
      <c r="A81" s="174"/>
      <c r="B81" s="176" t="e">
        <f>IF((C81-'VIB SPEC SHEET'!$AL$85)&gt;0,C81-'VIB SPEC SHEET'!$AL$85,10^10)</f>
        <v>#VALUE!</v>
      </c>
      <c r="C81" s="231"/>
      <c r="D81" s="232"/>
      <c r="E81" s="233"/>
      <c r="F81" s="197"/>
      <c r="G81" s="174">
        <f>IF('VIB SPEC SHEET'!$K$85="NEMA 4",IF(AND(I81&gt;'VIB SPEC SHEET'!$AL$85,AND(H81&lt;=$H$80,H81&lt;=$H$81,H81&lt;=$H$82,H81&lt;=$H$83,H81&lt;=$H$84,H81&lt;=$H$85,H81&lt;=$H$86,H81&lt;=$H$87,H81&lt;=$H$88,H81&lt;=$H$89,H81&lt;=$H$90,H81&lt;=$H$91,H81&lt;=$H$92,H81&lt;=$H$93,H81&lt;=$H$94,H81&lt;=$H$95,H81&lt;=$H$96,H81&lt;=$H$97,H81&lt;=$H$98,H81&lt;=$H$99,H81&lt;=$H$100,H81&lt;=$H$101,H81&lt;=$H$102,H81&lt;=$H$103,H81&lt;=$H$104,H81&lt;=$H$105,H81&lt;=$H$106,H81&lt;=$H$107,H81&lt;=$H$108,H81&lt;=$H$109)),CONCATENATE(J81,"&amp;"),""),"")</f>
      </c>
      <c r="H81" s="176" t="e">
        <f>IF((I81-'VIB SPEC SHEET'!$AL$85)&gt;0,I81-'VIB SPEC SHEET'!$AL$85,10^10)</f>
        <v>#VALUE!</v>
      </c>
      <c r="I81" s="231"/>
      <c r="J81" s="232"/>
      <c r="K81" s="233"/>
      <c r="L81" s="197"/>
      <c r="M81" s="174">
        <f>IF('VIB SPEC SHEET'!$K$85="NEMA 4X SS",IF(AND(O81&gt;'VIB SPEC SHEET'!$AL$85,AND(N81&lt;=$N$80,N81&lt;=$N$81,N81&lt;=$N$82,N81&lt;=$N$83,N81&lt;=$N$84,N81&lt;=$N$85,N81&lt;=$N$86,N81&lt;=$N$87,N81&lt;=$N$88,N81&lt;=$N$89,N81&lt;=$N$90,N81&lt;=$N$91,N81&lt;=$N$92,N81&lt;=$N$93,N81&lt;=$N$94,N81&lt;=$N$95,N81&lt;=$N$96,N81&lt;=$N$97,N81&lt;=$N$98,N81&lt;=$N$99,N81&lt;=$N$100,N81&lt;=$N$101,N81&lt;=$N$102,N81&lt;=$N$103,N81&lt;=$N$104,N81&lt;=$N$105,N81&lt;=$N$106,N81&lt;=$N$107,N81&lt;=$N$108,N81&lt;=$N$109)),CONCATENATE(P81,"&amp;"),""),"")</f>
      </c>
      <c r="N81" s="176" t="e">
        <f>IF((O81-'VIB SPEC SHEET'!$AL$85)&gt;0,O81-'VIB SPEC SHEET'!$AL$85,10^10)</f>
        <v>#VALUE!</v>
      </c>
      <c r="O81" s="231"/>
      <c r="P81" s="232"/>
      <c r="Q81" s="233"/>
      <c r="S81" s="180"/>
      <c r="T81" s="180"/>
      <c r="U81" s="190"/>
      <c r="V81" s="198"/>
    </row>
    <row r="82" spans="1:22" ht="15">
      <c r="A82" s="174">
        <f>IF('VIB SPEC SHEET'!$K$85="NEMA 12",IF(AND(C82&gt;'VIB SPEC SHEET'!$AL$85,AND(B82&lt;=$B$80,B82&lt;=$B$81,B82&lt;=$B$82,B82&lt;=$B$83,B82&lt;=$B$84,B82&lt;=$B$85,B82&lt;=$B$86,B82&lt;=$B$87,B82&lt;=$B$88,B82&lt;=$B$89,B82&lt;=$B$90,B82&lt;=$B$91,B82&lt;=$B$92,B82&lt;=$B$93,B82&lt;=$B$94,B82&lt;=$B$95,B82&lt;=$B$96,B82&lt;=$B$97,B82&lt;=$B$98,B82&lt;=$B$99,B82&lt;=$B$100,B82&lt;=$B$101,B82&lt;=$B$102,B82&lt;=$B$103,B82&lt;=$B$104,B82&lt;=$B$105,B82&lt;=$B$106,B82&lt;=$B$107,B82&lt;=$B$108,B82&lt;=$B$109)),CONCATENATE(D82,"&amp;"),""),"")</f>
      </c>
      <c r="B82" s="176" t="e">
        <f>IF((C82-'VIB SPEC SHEET'!$AL$85)&gt;0,C82-'VIB SPEC SHEET'!$AL$85,10^10)</f>
        <v>#VALUE!</v>
      </c>
      <c r="C82" s="231"/>
      <c r="D82" s="232"/>
      <c r="E82" s="233"/>
      <c r="F82" s="197"/>
      <c r="G82" s="174">
        <f>IF('VIB SPEC SHEET'!$K$85="NEMA 4",IF(AND(I82&gt;'VIB SPEC SHEET'!$AL$85,AND(H82&lt;=$H$80,H82&lt;=$H$81,H82&lt;=$H$82,H82&lt;=$H$83,H82&lt;=$H$84,H82&lt;=$H$85,H82&lt;=$H$86,H82&lt;=$H$87,H82&lt;=$H$88,H82&lt;=$H$89,H82&lt;=$H$90,H82&lt;=$H$91,H82&lt;=$H$92,H82&lt;=$H$93,H82&lt;=$H$94,H82&lt;=$H$95,H82&lt;=$H$96,H82&lt;=$H$97,H82&lt;=$H$98,H82&lt;=$H$99,H82&lt;=$H$100,H82&lt;=$H$101,H82&lt;=$H$102,H82&lt;=$H$103,H82&lt;=$H$104,H82&lt;=$H$105,H82&lt;=$H$106,H82&lt;=$H$107,H82&lt;=$H$108,H82&lt;=$H$109)),CONCATENATE(J82,"&amp;"),""),"")</f>
      </c>
      <c r="H82" s="176" t="e">
        <f>IF((I82-'VIB SPEC SHEET'!$AL$85)&gt;0,I82-'VIB SPEC SHEET'!$AL$85,10^10)</f>
        <v>#VALUE!</v>
      </c>
      <c r="I82" s="231"/>
      <c r="J82" s="232"/>
      <c r="K82" s="233"/>
      <c r="L82" s="197"/>
      <c r="M82" s="174">
        <f>IF('VIB SPEC SHEET'!$K$85="NEMA 4X SS",IF(AND(O82&gt;'VIB SPEC SHEET'!$AL$85,AND(N82&lt;=$N$80,N82&lt;=$N$81,N82&lt;=$N$82,N82&lt;=$N$83,N82&lt;=$N$84,N82&lt;=$N$85,N82&lt;=$N$86,N82&lt;=$N$87,N82&lt;=$N$88,N82&lt;=$N$89,N82&lt;=$N$90,N82&lt;=$N$91,N82&lt;=$N$92,N82&lt;=$N$93,N82&lt;=$N$94,N82&lt;=$N$95,N82&lt;=$N$96,N82&lt;=$N$97,N82&lt;=$N$98,N82&lt;=$N$99,N82&lt;=$N$100,N82&lt;=$N$101,N82&lt;=$N$102,N82&lt;=$N$103,N82&lt;=$N$104,N82&lt;=$N$105,N82&lt;=$N$106,N82&lt;=$N$107,N82&lt;=$N$108,N82&lt;=$N$109)),CONCATENATE(P82,"&amp;"),""),"")</f>
      </c>
      <c r="N82" s="176" t="e">
        <f>IF((O82-'VIB SPEC SHEET'!$AL$85)&gt;0,O82-'VIB SPEC SHEET'!$AL$85,10^10)</f>
        <v>#VALUE!</v>
      </c>
      <c r="O82" s="231"/>
      <c r="P82" s="232"/>
      <c r="Q82" s="233"/>
      <c r="S82" s="180"/>
      <c r="T82" s="180"/>
      <c r="U82" s="190"/>
      <c r="V82" s="198"/>
    </row>
    <row r="83" spans="1:22" ht="15">
      <c r="A83" s="174">
        <f>IF('VIB SPEC SHEET'!$K$85="NEMA 12",IF(AND(C83&gt;'VIB SPEC SHEET'!$AL$85,AND(B83&lt;=$B$80,B83&lt;=$B$81,B83&lt;=$B$82,B83&lt;=$B$83,B83&lt;=$B$84,B83&lt;=$B$85,B83&lt;=$B$86,B83&lt;=$B$87,B83&lt;=$B$88,B83&lt;=$B$89,B83&lt;=$B$90,B83&lt;=$B$91,B83&lt;=$B$92,B83&lt;=$B$93,B83&lt;=$B$94,B83&lt;=$B$95,B83&lt;=$B$96,B83&lt;=$B$97,B83&lt;=$B$98,B83&lt;=$B$99,B83&lt;=$B$100,B83&lt;=$B$101,B83&lt;=$B$102,B83&lt;=$B$103,B83&lt;=$B$104,B83&lt;=$B$105,B83&lt;=$B$106,B83&lt;=$B$107,B83&lt;=$B$108,B83&lt;=$B$109)),CONCATENATE(D83,"&amp;"),""),"")</f>
      </c>
      <c r="B83" s="176" t="e">
        <f>IF((C83-'VIB SPEC SHEET'!$AL$85)&gt;0,C83-'VIB SPEC SHEET'!$AL$85,10^10)</f>
        <v>#VALUE!</v>
      </c>
      <c r="C83" s="231"/>
      <c r="D83" s="232"/>
      <c r="E83" s="233"/>
      <c r="F83" s="197"/>
      <c r="G83" s="174">
        <f>IF('VIB SPEC SHEET'!$K$85="NEMA 4",IF(AND(I83&gt;'VIB SPEC SHEET'!$AL$85,AND(H83&lt;=$H$80,H83&lt;=$H$81,H83&lt;=$H$82,H83&lt;=$H$83,H83&lt;=$H$84,H83&lt;=$H$85,H83&lt;=$H$86,H83&lt;=$H$87,H83&lt;=$H$88,H83&lt;=$H$89,H83&lt;=$H$90,H83&lt;=$H$91,H83&lt;=$H$92,H83&lt;=$H$93,H83&lt;=$H$94,H83&lt;=$H$95,H83&lt;=$H$96,H83&lt;=$H$97,H83&lt;=$H$98,H83&lt;=$H$99,H83&lt;=$H$100,H83&lt;=$H$101,H83&lt;=$H$102,H83&lt;=$H$103,H83&lt;=$H$104,H83&lt;=$H$105,H83&lt;=$H$106,H83&lt;=$H$107,H83&lt;=$H$108,H83&lt;=$H$109)),CONCATENATE(J83,"&amp;"),""),"")</f>
      </c>
      <c r="H83" s="176" t="e">
        <f>IF((I83-'VIB SPEC SHEET'!$AL$85)&gt;0,I83-'VIB SPEC SHEET'!$AL$85,10^10)</f>
        <v>#VALUE!</v>
      </c>
      <c r="I83" s="231"/>
      <c r="J83" s="232"/>
      <c r="K83" s="233"/>
      <c r="L83" s="197"/>
      <c r="M83" s="174">
        <f>IF('VIB SPEC SHEET'!$K$85="NEMA 4X SS",IF(AND(O83&gt;'VIB SPEC SHEET'!$AL$85,AND(N83&lt;=$N$80,N83&lt;=$N$81,N83&lt;=$N$82,N83&lt;=$N$83,N83&lt;=$N$84,N83&lt;=$N$85,N83&lt;=$N$86,N83&lt;=$N$87,N83&lt;=$N$88,N83&lt;=$N$89,N83&lt;=$N$90,N83&lt;=$N$91,N83&lt;=$N$92,N83&lt;=$N$93,N83&lt;=$N$94,N83&lt;=$N$95,N83&lt;=$N$96,N83&lt;=$N$97,N83&lt;=$N$98,N83&lt;=$N$99,N83&lt;=$N$100,N83&lt;=$N$101,N83&lt;=$N$102,N83&lt;=$N$103,N83&lt;=$N$104,N83&lt;=$N$105,N83&lt;=$N$106,N83&lt;=$N$107,N83&lt;=$N$108,N83&lt;=$N$109)),CONCATENATE(P83,"&amp;"),""),"")</f>
      </c>
      <c r="N83" s="176" t="e">
        <f>IF((O83-'VIB SPEC SHEET'!$AL$85)&gt;0,O83-'VIB SPEC SHEET'!$AL$85,10^10)</f>
        <v>#VALUE!</v>
      </c>
      <c r="O83" s="231"/>
      <c r="P83" s="232"/>
      <c r="Q83" s="233"/>
      <c r="S83" s="180"/>
      <c r="T83" s="180"/>
      <c r="U83" s="190"/>
      <c r="V83" s="198"/>
    </row>
    <row r="84" spans="1:22" ht="15">
      <c r="A84" s="174">
        <f>IF('VIB SPEC SHEET'!$K$85="NEMA 12",IF(AND(C84&gt;'VIB SPEC SHEET'!$AL$85,AND(B84&lt;=$B$80,B84&lt;=$B$81,B84&lt;=$B$82,B84&lt;=$B$83,B84&lt;=$B$84,B84&lt;=$B$85,B84&lt;=$B$86,B84&lt;=$B$87,B84&lt;=$B$88,B84&lt;=$B$89,B84&lt;=$B$90,B84&lt;=$B$91,B84&lt;=$B$92,B84&lt;=$B$93,B84&lt;=$B$94,B84&lt;=$B$95,B84&lt;=$B$96,B84&lt;=$B$97,B84&lt;=$B$98,B84&lt;=$B$99,B84&lt;=$B$100,B84&lt;=$B$101,B84&lt;=$B$102,B84&lt;=$B$103,B84&lt;=$B$104,B84&lt;=$B$105,B84&lt;=$B$106,B84&lt;=$B$107,B84&lt;=$B$108,B84&lt;=$B$109)),CONCATENATE(D84,"&amp;"),""),"")</f>
      </c>
      <c r="B84" s="176" t="e">
        <f>IF((C84-'VIB SPEC SHEET'!$AL$85)&gt;0,C84-'VIB SPEC SHEET'!$AL$85,10^10)</f>
        <v>#VALUE!</v>
      </c>
      <c r="C84" s="231"/>
      <c r="D84" s="232"/>
      <c r="E84" s="233"/>
      <c r="F84" s="197"/>
      <c r="G84" s="174">
        <f>IF('VIB SPEC SHEET'!$K$85="NEMA 4",IF(AND(I84&gt;'VIB SPEC SHEET'!$AL$85,AND(H84&lt;=$H$80,H84&lt;=$H$81,H84&lt;=$H$82,H84&lt;=$H$83,H84&lt;=$H$84,H84&lt;=$H$85,H84&lt;=$H$86,H84&lt;=$H$87,H84&lt;=$H$88,H84&lt;=$H$89,H84&lt;=$H$90,H84&lt;=$H$91,H84&lt;=$H$92,H84&lt;=$H$93,H84&lt;=$H$94,H84&lt;=$H$95,H84&lt;=$H$96,H84&lt;=$H$97,H84&lt;=$H$98,H84&lt;=$H$99,H84&lt;=$H$100,H84&lt;=$H$101,H84&lt;=$H$102,H84&lt;=$H$103,H84&lt;=$H$104,H84&lt;=$H$105,H84&lt;=$H$106,H84&lt;=$H$107,H84&lt;=$H$108,H84&lt;=$H$109)),CONCATENATE(J84,"&amp;"),""),"")</f>
      </c>
      <c r="H84" s="176" t="e">
        <f>IF((I84-'VIB SPEC SHEET'!$AL$85)&gt;0,I84-'VIB SPEC SHEET'!$AL$85,10^10)</f>
        <v>#VALUE!</v>
      </c>
      <c r="I84" s="231"/>
      <c r="J84" s="232"/>
      <c r="K84" s="233"/>
      <c r="L84" s="197"/>
      <c r="M84" s="174">
        <f>IF('VIB SPEC SHEET'!$K$85="NEMA 4X SS",IF(AND(O84&gt;'VIB SPEC SHEET'!$AL$85,AND(N84&lt;=$N$80,N84&lt;=$N$81,N84&lt;=$N$82,N84&lt;=$N$83,N84&lt;=$N$84,N84&lt;=$N$85,N84&lt;=$N$86,N84&lt;=$N$87,N84&lt;=$N$88,N84&lt;=$N$89,N84&lt;=$N$90,N84&lt;=$N$91,N84&lt;=$N$92,N84&lt;=$N$93,N84&lt;=$N$94,N84&lt;=$N$95,N84&lt;=$N$96,N84&lt;=$N$97,N84&lt;=$N$98,N84&lt;=$N$99,N84&lt;=$N$100,N84&lt;=$N$101,N84&lt;=$N$102,N84&lt;=$N$103,N84&lt;=$N$104,N84&lt;=$N$105,N84&lt;=$N$106,N84&lt;=$N$107,N84&lt;=$N$108,N84&lt;=$N$109)),CONCATENATE(P84,"&amp;"),""),"")</f>
      </c>
      <c r="N84" s="176" t="e">
        <f>IF((O84-'VIB SPEC SHEET'!$AL$85)&gt;0,O84-'VIB SPEC SHEET'!$AL$85,10^10)</f>
        <v>#VALUE!</v>
      </c>
      <c r="O84" s="231"/>
      <c r="P84" s="232"/>
      <c r="Q84" s="233"/>
      <c r="S84" s="180"/>
      <c r="T84" s="180"/>
      <c r="U84" s="190"/>
      <c r="V84" s="198"/>
    </row>
    <row r="85" spans="1:22" ht="15">
      <c r="A85" s="174">
        <f>IF('VIB SPEC SHEET'!$K$85="NEMA 12",IF(AND(C85&gt;'VIB SPEC SHEET'!$AL$85,AND(B85&lt;=$B$80,B85&lt;=$B$81,B85&lt;=$B$82,B85&lt;=$B$83,B85&lt;=$B$84,B85&lt;=$B$85,B85&lt;=$B$86,B85&lt;=$B$87,B85&lt;=$B$88,B85&lt;=$B$89,B85&lt;=$B$90,B85&lt;=$B$91,B85&lt;=$B$92,B85&lt;=$B$93,B85&lt;=$B$94,B85&lt;=$B$95,B85&lt;=$B$96,B85&lt;=$B$97,B85&lt;=$B$98,B85&lt;=$B$99,B85&lt;=$B$100,B85&lt;=$B$101,B85&lt;=$B$102,B85&lt;=$B$103,B85&lt;=$B$104,B85&lt;=$B$105,B85&lt;=$B$106,B85&lt;=$B$107,B85&lt;=$B$108,B85&lt;=$B$109)),CONCATENATE(D85,"&amp;"),""),"")</f>
      </c>
      <c r="B85" s="176" t="e">
        <f>IF((C85-'VIB SPEC SHEET'!$AL$85)&gt;0,C85-'VIB SPEC SHEET'!$AL$85,10^10)</f>
        <v>#VALUE!</v>
      </c>
      <c r="C85" s="231"/>
      <c r="D85" s="232"/>
      <c r="E85" s="233"/>
      <c r="F85" s="197"/>
      <c r="G85" s="174">
        <f>IF('VIB SPEC SHEET'!$K$85="NEMA 4",IF(AND(I85&gt;'VIB SPEC SHEET'!$AL$85,AND(H85&lt;=$H$80,H85&lt;=$H$81,H85&lt;=$H$82,H85&lt;=$H$83,H85&lt;=$H$84,H85&lt;=$H$85,H85&lt;=$H$86,H85&lt;=$H$87,H85&lt;=$H$88,H85&lt;=$H$89,H85&lt;=$H$90,H85&lt;=$H$91,H85&lt;=$H$92,H85&lt;=$H$93,H85&lt;=$H$94,H85&lt;=$H$95,H85&lt;=$H$96,H85&lt;=$H$97,H85&lt;=$H$98,H85&lt;=$H$99,H85&lt;=$H$100,H85&lt;=$H$101,H85&lt;=$H$102,H85&lt;=$H$103,H85&lt;=$H$104,H85&lt;=$H$105,H85&lt;=$H$106,H85&lt;=$H$107,H85&lt;=$H$108,H85&lt;=$H$109)),CONCATENATE(J85,"&amp;"),""),"")</f>
      </c>
      <c r="H85" s="176" t="e">
        <f>IF((I85-'VIB SPEC SHEET'!$AL$85)&gt;0,I85-'VIB SPEC SHEET'!$AL$85,10^10)</f>
        <v>#VALUE!</v>
      </c>
      <c r="I85" s="231"/>
      <c r="J85" s="232"/>
      <c r="K85" s="233"/>
      <c r="L85" s="197"/>
      <c r="M85" s="174">
        <f>IF('VIB SPEC SHEET'!$K$85="NEMA 4X SS",IF(AND(O85&gt;'VIB SPEC SHEET'!$AL$85,AND(N85&lt;=$N$80,N85&lt;=$N$81,N85&lt;=$N$82,N85&lt;=$N$83,N85&lt;=$N$84,N85&lt;=$N$85,N85&lt;=$N$86,N85&lt;=$N$87,N85&lt;=$N$88,N85&lt;=$N$89,N85&lt;=$N$90,N85&lt;=$N$91,N85&lt;=$N$92,N85&lt;=$N$93,N85&lt;=$N$94,N85&lt;=$N$95,N85&lt;=$N$96,N85&lt;=$N$97,N85&lt;=$N$98,N85&lt;=$N$99,N85&lt;=$N$100,N85&lt;=$N$101,N85&lt;=$N$102,N85&lt;=$N$103,N85&lt;=$N$104,N85&lt;=$N$105,N85&lt;=$N$106,N85&lt;=$N$107,N85&lt;=$N$108,N85&lt;=$N$109)),CONCATENATE(P85,"&amp;"),""),"")</f>
      </c>
      <c r="N85" s="176" t="e">
        <f>IF((O85-'VIB SPEC SHEET'!$AL$85)&gt;0,O85-'VIB SPEC SHEET'!$AL$85,10^10)</f>
        <v>#VALUE!</v>
      </c>
      <c r="O85" s="231"/>
      <c r="P85" s="232"/>
      <c r="Q85" s="233"/>
      <c r="S85" s="180"/>
      <c r="T85" s="180"/>
      <c r="U85" s="190"/>
      <c r="V85" s="198"/>
    </row>
    <row r="86" spans="1:22" ht="15">
      <c r="A86" s="174">
        <f>IF('VIB SPEC SHEET'!$K$85="NEMA 12",IF(AND(C86&gt;'VIB SPEC SHEET'!$AL$85,AND(B86&lt;=$B$80,B86&lt;=$B$81,B86&lt;=$B$82,B86&lt;=$B$83,B86&lt;=$B$84,B86&lt;=$B$85,B86&lt;=$B$86,B86&lt;=$B$87,B86&lt;=$B$88,B86&lt;=$B$89,B86&lt;=$B$90,B86&lt;=$B$91,B86&lt;=$B$92,B86&lt;=$B$93,B86&lt;=$B$94,B86&lt;=$B$95,B86&lt;=$B$96,B86&lt;=$B$97,B86&lt;=$B$98,B86&lt;=$B$99,B86&lt;=$B$100,B86&lt;=$B$101,B86&lt;=$B$102,B86&lt;=$B$103,B86&lt;=$B$104,B86&lt;=$B$105,B86&lt;=$B$106,B86&lt;=$B$107,B86&lt;=$B$108,B86&lt;=$B$109)),CONCATENATE(D86,"&amp;"),""),"")</f>
      </c>
      <c r="B86" s="176" t="e">
        <f>IF((C86-'VIB SPEC SHEET'!$AL$85)&gt;0,C86-'VIB SPEC SHEET'!$AL$85,10^10)</f>
        <v>#VALUE!</v>
      </c>
      <c r="C86" s="231"/>
      <c r="D86" s="232"/>
      <c r="E86" s="233"/>
      <c r="F86" s="197"/>
      <c r="G86" s="174">
        <f>IF('VIB SPEC SHEET'!$K$85="NEMA 4",IF(AND(I86&gt;'VIB SPEC SHEET'!$AL$85,AND(H86&lt;=$H$80,H86&lt;=$H$81,H86&lt;=$H$82,H86&lt;=$H$83,H86&lt;=$H$84,H86&lt;=$H$85,H86&lt;=$H$86,H86&lt;=$H$87,H86&lt;=$H$88,H86&lt;=$H$89,H86&lt;=$H$90,H86&lt;=$H$91,H86&lt;=$H$92,H86&lt;=$H$93,H86&lt;=$H$94,H86&lt;=$H$95,H86&lt;=$H$96,H86&lt;=$H$97,H86&lt;=$H$98,H86&lt;=$H$99,H86&lt;=$H$100,H86&lt;=$H$101,H86&lt;=$H$102,H86&lt;=$H$103,H86&lt;=$H$104,H86&lt;=$H$105,H86&lt;=$H$106,H86&lt;=$H$107,H86&lt;=$H$108,H86&lt;=$H$109)),CONCATENATE(J86,"&amp;"),""),"")</f>
      </c>
      <c r="H86" s="176" t="e">
        <f>IF((I86-'VIB SPEC SHEET'!$AL$85)&gt;0,I86-'VIB SPEC SHEET'!$AL$85,10^10)</f>
        <v>#VALUE!</v>
      </c>
      <c r="I86" s="231"/>
      <c r="J86" s="232"/>
      <c r="K86" s="233"/>
      <c r="L86" s="197"/>
      <c r="M86" s="174">
        <f>IF('VIB SPEC SHEET'!$K$85="NEMA 4X SS",IF(AND(O86&gt;'VIB SPEC SHEET'!$AL$85,AND(N86&lt;=$N$80,N86&lt;=$N$81,N86&lt;=$N$82,N86&lt;=$N$83,N86&lt;=$N$84,N86&lt;=$N$85,N86&lt;=$N$86,N86&lt;=$N$87,N86&lt;=$N$88,N86&lt;=$N$89,N86&lt;=$N$90,N86&lt;=$N$91,N86&lt;=$N$92,N86&lt;=$N$93,N86&lt;=$N$94,N86&lt;=$N$95,N86&lt;=$N$96,N86&lt;=$N$97,N86&lt;=$N$98,N86&lt;=$N$99,N86&lt;=$N$100,N86&lt;=$N$101,N86&lt;=$N$102,N86&lt;=$N$103,N86&lt;=$N$104,N86&lt;=$N$105,N86&lt;=$N$106,N86&lt;=$N$107,N86&lt;=$N$108,N86&lt;=$N$109)),CONCATENATE(P86,"&amp;"),""),"")</f>
      </c>
      <c r="N86" s="176" t="e">
        <f>IF((O86-'VIB SPEC SHEET'!$AL$85)&gt;0,O86-'VIB SPEC SHEET'!$AL$85,10^10)</f>
        <v>#VALUE!</v>
      </c>
      <c r="O86" s="231"/>
      <c r="P86" s="232"/>
      <c r="Q86" s="233"/>
      <c r="S86" s="180"/>
      <c r="T86" s="180"/>
      <c r="U86" s="190"/>
      <c r="V86" s="198"/>
    </row>
    <row r="87" spans="1:22" ht="15">
      <c r="A87" s="174">
        <f>IF('VIB SPEC SHEET'!$K$85="NEMA 12",IF(AND(C87&gt;'VIB SPEC SHEET'!$AL$85,AND(B87&lt;=$B$80,B87&lt;=$B$81,B87&lt;=$B$82,B87&lt;=$B$83,B87&lt;=$B$84,B87&lt;=$B$85,B87&lt;=$B$86,B87&lt;=$B$87,B87&lt;=$B$88,B87&lt;=$B$89,B87&lt;=$B$90,B87&lt;=$B$91,B87&lt;=$B$92,B87&lt;=$B$93,B87&lt;=$B$94,B87&lt;=$B$95,B87&lt;=$B$96,B87&lt;=$B$97,B87&lt;=$B$98,B87&lt;=$B$99,B87&lt;=$B$100,B87&lt;=$B$101,B87&lt;=$B$102,B87&lt;=$B$103,B87&lt;=$B$104,B87&lt;=$B$105,B87&lt;=$B$106,B87&lt;=$B$107,B87&lt;=$B$108,B87&lt;=$B$109)),CONCATENATE(D87,"&amp;"),""),"")</f>
      </c>
      <c r="B87" s="176" t="e">
        <f>IF((C87-'VIB SPEC SHEET'!$AL$85)&gt;0,C87-'VIB SPEC SHEET'!$AL$85,10^10)</f>
        <v>#VALUE!</v>
      </c>
      <c r="C87" s="231"/>
      <c r="D87" s="232"/>
      <c r="E87" s="233"/>
      <c r="F87" s="197"/>
      <c r="G87" s="174">
        <f>IF('VIB SPEC SHEET'!$K$85="NEMA 4",IF(AND(I87&gt;'VIB SPEC SHEET'!$AL$85,AND(H87&lt;=$H$80,H87&lt;=$H$81,H87&lt;=$H$82,H87&lt;=$H$83,H87&lt;=$H$84,H87&lt;=$H$85,H87&lt;=$H$86,H87&lt;=$H$87,H87&lt;=$H$88,H87&lt;=$H$89,H87&lt;=$H$90,H87&lt;=$H$91,H87&lt;=$H$92,H87&lt;=$H$93,H87&lt;=$H$94,H87&lt;=$H$95,H87&lt;=$H$96,H87&lt;=$H$97,H87&lt;=$H$98,H87&lt;=$H$99,H87&lt;=$H$100,H87&lt;=$H$101,H87&lt;=$H$102,H87&lt;=$H$103,H87&lt;=$H$104,H87&lt;=$H$105,H87&lt;=$H$106,H87&lt;=$H$107,H87&lt;=$H$108,H87&lt;=$H$109)),CONCATENATE(J87,"&amp;"),""),"")</f>
      </c>
      <c r="H87" s="176" t="e">
        <f>IF((I87-'VIB SPEC SHEET'!$AL$85)&gt;0,I87-'VIB SPEC SHEET'!$AL$85,10^10)</f>
        <v>#VALUE!</v>
      </c>
      <c r="I87" s="231"/>
      <c r="J87" s="232"/>
      <c r="K87" s="233"/>
      <c r="L87" s="197"/>
      <c r="M87" s="174">
        <f>IF('VIB SPEC SHEET'!$K$85="NEMA 4X SS",IF(AND(O87&gt;'VIB SPEC SHEET'!$AL$85,AND(N87&lt;=$N$80,N87&lt;=$N$81,N87&lt;=$N$82,N87&lt;=$N$83,N87&lt;=$N$84,N87&lt;=$N$85,N87&lt;=$N$86,N87&lt;=$N$87,N87&lt;=$N$88,N87&lt;=$N$89,N87&lt;=$N$90,N87&lt;=$N$91,N87&lt;=$N$92,N87&lt;=$N$93,N87&lt;=$N$94,N87&lt;=$N$95,N87&lt;=$N$96,N87&lt;=$N$97,N87&lt;=$N$98,N87&lt;=$N$99,N87&lt;=$N$100,N87&lt;=$N$101,N87&lt;=$N$102,N87&lt;=$N$103,N87&lt;=$N$104,N87&lt;=$N$105,N87&lt;=$N$106,N87&lt;=$N$107,N87&lt;=$N$108,N87&lt;=$N$109)),CONCATENATE(P87,"&amp;"),""),"")</f>
      </c>
      <c r="N87" s="176" t="e">
        <f>IF((O87-'VIB SPEC SHEET'!$AL$85)&gt;0,O87-'VIB SPEC SHEET'!$AL$85,10^10)</f>
        <v>#VALUE!</v>
      </c>
      <c r="O87" s="231"/>
      <c r="P87" s="232"/>
      <c r="Q87" s="233"/>
      <c r="S87" s="180"/>
      <c r="T87" s="180"/>
      <c r="U87" s="190"/>
      <c r="V87" s="198"/>
    </row>
    <row r="88" spans="1:22" ht="15">
      <c r="A88" s="174">
        <f>IF('VIB SPEC SHEET'!$K$85="NEMA 12",IF(AND(C88&gt;'VIB SPEC SHEET'!$AL$85,AND(B88&lt;=$B$80,B88&lt;=$B$81,B88&lt;=$B$82,B88&lt;=$B$83,B88&lt;=$B$84,B88&lt;=$B$85,B88&lt;=$B$86,B88&lt;=$B$87,B88&lt;=$B$88,B88&lt;=$B$89,B88&lt;=$B$90,B88&lt;=$B$91,B88&lt;=$B$92,B88&lt;=$B$93,B88&lt;=$B$94,B88&lt;=$B$95,B88&lt;=$B$96,B88&lt;=$B$97,B88&lt;=$B$98,B88&lt;=$B$99,B88&lt;=$B$100,B88&lt;=$B$101,B88&lt;=$B$102,B88&lt;=$B$103,B88&lt;=$B$104,B88&lt;=$B$105,B88&lt;=$B$106,B88&lt;=$B$107,B88&lt;=$B$108,B88&lt;=$B$109)),CONCATENATE(D88,"&amp;"),""),"")</f>
      </c>
      <c r="B88" s="176" t="e">
        <f>IF((C88-'VIB SPEC SHEET'!$AL$85)&gt;0,C88-'VIB SPEC SHEET'!$AL$85,10^10)</f>
        <v>#VALUE!</v>
      </c>
      <c r="C88" s="231"/>
      <c r="D88" s="232"/>
      <c r="E88" s="233"/>
      <c r="F88" s="197"/>
      <c r="G88" s="174">
        <f>IF('VIB SPEC SHEET'!$K$85="NEMA 4",IF(AND(I88&gt;'VIB SPEC SHEET'!$AL$85,AND(H88&lt;=$H$80,H88&lt;=$H$81,H88&lt;=$H$82,H88&lt;=$H$83,H88&lt;=$H$84,H88&lt;=$H$85,H88&lt;=$H$86,H88&lt;=$H$87,H88&lt;=$H$88,H88&lt;=$H$89,H88&lt;=$H$90,H88&lt;=$H$91,H88&lt;=$H$92,H88&lt;=$H$93,H88&lt;=$H$94,H88&lt;=$H$95,H88&lt;=$H$96,H88&lt;=$H$97,H88&lt;=$H$98,H88&lt;=$H$99,H88&lt;=$H$100,H88&lt;=$H$101,H88&lt;=$H$102,H88&lt;=$H$103,H88&lt;=$H$104,H88&lt;=$H$105,H88&lt;=$H$106,H88&lt;=$H$107,H88&lt;=$H$108,H88&lt;=$H$109)),CONCATENATE(J88,"&amp;"),""),"")</f>
      </c>
      <c r="H88" s="176" t="e">
        <f>IF((I88-'VIB SPEC SHEET'!$AL$85)&gt;0,I88-'VIB SPEC SHEET'!$AL$85,10^10)</f>
        <v>#VALUE!</v>
      </c>
      <c r="I88" s="231"/>
      <c r="J88" s="232"/>
      <c r="K88" s="233"/>
      <c r="L88" s="197"/>
      <c r="M88" s="174">
        <f>IF('VIB SPEC SHEET'!$K$85="NEMA 4X SS",IF(AND(O88&gt;'VIB SPEC SHEET'!$AL$85,AND(N88&lt;=$N$80,N88&lt;=$N$81,N88&lt;=$N$82,N88&lt;=$N$83,N88&lt;=$N$84,N88&lt;=$N$85,N88&lt;=$N$86,N88&lt;=$N$87,N88&lt;=$N$88,N88&lt;=$N$89,N88&lt;=$N$90,N88&lt;=$N$91,N88&lt;=$N$92,N88&lt;=$N$93,N88&lt;=$N$94,N88&lt;=$N$95,N88&lt;=$N$96,N88&lt;=$N$97,N88&lt;=$N$98,N88&lt;=$N$99,N88&lt;=$N$100,N88&lt;=$N$101,N88&lt;=$N$102,N88&lt;=$N$103,N88&lt;=$N$104,N88&lt;=$N$105,N88&lt;=$N$106,N88&lt;=$N$107,N88&lt;=$N$108,N88&lt;=$N$109)),CONCATENATE(P88,"&amp;"),""),"")</f>
      </c>
      <c r="N88" s="176" t="e">
        <f>IF((O88-'VIB SPEC SHEET'!$AL$85)&gt;0,O88-'VIB SPEC SHEET'!$AL$85,10^10)</f>
        <v>#VALUE!</v>
      </c>
      <c r="O88" s="231"/>
      <c r="P88" s="232"/>
      <c r="Q88" s="233"/>
      <c r="S88" s="180"/>
      <c r="T88" s="180"/>
      <c r="U88" s="190"/>
      <c r="V88" s="198"/>
    </row>
    <row r="89" spans="1:22" ht="15">
      <c r="A89" s="174">
        <f>IF('VIB SPEC SHEET'!$K$85="NEMA 12",IF(AND(C89&gt;'VIB SPEC SHEET'!$AL$85,AND(B89&lt;=$B$80,B89&lt;=$B$81,B89&lt;=$B$82,B89&lt;=$B$83,B89&lt;=$B$84,B89&lt;=$B$85,B89&lt;=$B$86,B89&lt;=$B$87,B89&lt;=$B$88,B89&lt;=$B$89,B89&lt;=$B$90,B89&lt;=$B$91,B89&lt;=$B$92,B89&lt;=$B$93,B89&lt;=$B$94,B89&lt;=$B$95,B89&lt;=$B$96,B89&lt;=$B$97,B89&lt;=$B$98,B89&lt;=$B$99,B89&lt;=$B$100,B89&lt;=$B$101,B89&lt;=$B$102,B89&lt;=$B$103,B89&lt;=$B$104,B89&lt;=$B$105,B89&lt;=$B$106,B89&lt;=$B$107,B89&lt;=$B$108,B89&lt;=$B$109)),CONCATENATE(D89,"&amp;"),""),"")</f>
      </c>
      <c r="B89" s="176" t="e">
        <f>IF((C89-'VIB SPEC SHEET'!$AL$85)&gt;0,C89-'VIB SPEC SHEET'!$AL$85,10^10)</f>
        <v>#VALUE!</v>
      </c>
      <c r="C89" s="231"/>
      <c r="D89" s="232"/>
      <c r="E89" s="233"/>
      <c r="F89" s="197"/>
      <c r="G89" s="174">
        <f>IF('VIB SPEC SHEET'!$K$85="NEMA 4",IF(AND(I89&gt;'VIB SPEC SHEET'!$AL$85,AND(H89&lt;=$H$80,H89&lt;=$H$81,H89&lt;=$H$82,H89&lt;=$H$83,H89&lt;=$H$84,H89&lt;=$H$85,H89&lt;=$H$86,H89&lt;=$H$87,H89&lt;=$H$88,H89&lt;=$H$89,H89&lt;=$H$90,H89&lt;=$H$91,H89&lt;=$H$92,H89&lt;=$H$93,H89&lt;=$H$94,H89&lt;=$H$95,H89&lt;=$H$96,H89&lt;=$H$97,H89&lt;=$H$98,H89&lt;=$H$99,H89&lt;=$H$100,H89&lt;=$H$101,H89&lt;=$H$102,H89&lt;=$H$103,H89&lt;=$H$104,H89&lt;=$H$105,H89&lt;=$H$106,H89&lt;=$H$107,H89&lt;=$H$108,H89&lt;=$H$109)),CONCATENATE(J89,"&amp;"),""),"")</f>
      </c>
      <c r="H89" s="176" t="e">
        <f>IF((I89-'VIB SPEC SHEET'!$AL$85)&gt;0,I89-'VIB SPEC SHEET'!$AL$85,10^10)</f>
        <v>#VALUE!</v>
      </c>
      <c r="I89" s="231"/>
      <c r="J89" s="232"/>
      <c r="K89" s="233"/>
      <c r="L89" s="197"/>
      <c r="M89" s="174">
        <f>IF('VIB SPEC SHEET'!$K$85="NEMA 4X SS",IF(AND(O89&gt;'VIB SPEC SHEET'!$AL$85,AND(N89&lt;=$N$80,N89&lt;=$N$81,N89&lt;=$N$82,N89&lt;=$N$83,N89&lt;=$N$84,N89&lt;=$N$85,N89&lt;=$N$86,N89&lt;=$N$87,N89&lt;=$N$88,N89&lt;=$N$89,N89&lt;=$N$90,N89&lt;=$N$91,N89&lt;=$N$92,N89&lt;=$N$93,N89&lt;=$N$94,N89&lt;=$N$95,N89&lt;=$N$96,N89&lt;=$N$97,N89&lt;=$N$98,N89&lt;=$N$99,N89&lt;=$N$100,N89&lt;=$N$101,N89&lt;=$N$102,N89&lt;=$N$103,N89&lt;=$N$104,N89&lt;=$N$105,N89&lt;=$N$106,N89&lt;=$N$107,N89&lt;=$N$108,N89&lt;=$N$109)),CONCATENATE(P89,"&amp;"),""),"")</f>
      </c>
      <c r="N89" s="176" t="e">
        <f>IF((O89-'VIB SPEC SHEET'!$AL$85)&gt;0,O89-'VIB SPEC SHEET'!$AL$85,10^10)</f>
        <v>#VALUE!</v>
      </c>
      <c r="O89" s="231"/>
      <c r="P89" s="232"/>
      <c r="Q89" s="233"/>
      <c r="S89" s="180"/>
      <c r="T89" s="180"/>
      <c r="U89" s="190"/>
      <c r="V89" s="198"/>
    </row>
    <row r="90" spans="1:22" ht="15">
      <c r="A90" s="174">
        <f>IF('VIB SPEC SHEET'!$K$85="NEMA 12",IF(AND(C90&gt;'VIB SPEC SHEET'!$AL$85,AND(B90&lt;=$B$80,B90&lt;=$B$81,B90&lt;=$B$82,B90&lt;=$B$83,B90&lt;=$B$84,B90&lt;=$B$85,B90&lt;=$B$86,B90&lt;=$B$87,B90&lt;=$B$88,B90&lt;=$B$89,B90&lt;=$B$90,B90&lt;=$B$91,B90&lt;=$B$92,B90&lt;=$B$93,B90&lt;=$B$94,B90&lt;=$B$95,B90&lt;=$B$96,B90&lt;=$B$97,B90&lt;=$B$98,B90&lt;=$B$99,B90&lt;=$B$100,B90&lt;=$B$101,B90&lt;=$B$102,B90&lt;=$B$103,B90&lt;=$B$104,B90&lt;=$B$105,B90&lt;=$B$106,B90&lt;=$B$107,B90&lt;=$B$108,B90&lt;=$B$109)),CONCATENATE(D90,"&amp;"),""),"")</f>
      </c>
      <c r="B90" s="176" t="e">
        <f>IF((C90-'VIB SPEC SHEET'!$AL$85)&gt;0,C90-'VIB SPEC SHEET'!$AL$85,10^10)</f>
        <v>#VALUE!</v>
      </c>
      <c r="C90" s="231"/>
      <c r="D90" s="232"/>
      <c r="E90" s="233"/>
      <c r="F90" s="197"/>
      <c r="G90" s="174">
        <f>IF('VIB SPEC SHEET'!$K$85="NEMA 4",IF(AND(I90&gt;'VIB SPEC SHEET'!$AL$85,AND(H90&lt;=$H$80,H90&lt;=$H$81,H90&lt;=$H$82,H90&lt;=$H$83,H90&lt;=$H$84,H90&lt;=$H$85,H90&lt;=$H$86,H90&lt;=$H$87,H90&lt;=$H$88,H90&lt;=$H$89,H90&lt;=$H$90,H90&lt;=$H$91,H90&lt;=$H$92,H90&lt;=$H$93,H90&lt;=$H$94,H90&lt;=$H$95,H90&lt;=$H$96,H90&lt;=$H$97,H90&lt;=$H$98,H90&lt;=$H$99,H90&lt;=$H$100,H90&lt;=$H$101,H90&lt;=$H$102,H90&lt;=$H$103,H90&lt;=$H$104,H90&lt;=$H$105,H90&lt;=$H$106,H90&lt;=$H$107,H90&lt;=$H$108,H90&lt;=$H$109)),CONCATENATE(J90,"&amp;"),""),"")</f>
      </c>
      <c r="H90" s="176" t="e">
        <f>IF((I90-'VIB SPEC SHEET'!$AL$85)&gt;0,I90-'VIB SPEC SHEET'!$AL$85,10^10)</f>
        <v>#VALUE!</v>
      </c>
      <c r="I90" s="231"/>
      <c r="J90" s="232"/>
      <c r="K90" s="233"/>
      <c r="L90" s="197"/>
      <c r="M90" s="174">
        <f>IF('VIB SPEC SHEET'!$K$85="NEMA 4X SS",IF(AND(O90&gt;'VIB SPEC SHEET'!$AL$85,AND(N90&lt;=$N$80,N90&lt;=$N$81,N90&lt;=$N$82,N90&lt;=$N$83,N90&lt;=$N$84,N90&lt;=$N$85,N90&lt;=$N$86,N90&lt;=$N$87,N90&lt;=$N$88,N90&lt;=$N$89,N90&lt;=$N$90,N90&lt;=$N$91,N90&lt;=$N$92,N90&lt;=$N$93,N90&lt;=$N$94,N90&lt;=$N$95,N90&lt;=$N$96,N90&lt;=$N$97,N90&lt;=$N$98,N90&lt;=$N$99,N90&lt;=$N$100,N90&lt;=$N$101,N90&lt;=$N$102,N90&lt;=$N$103,N90&lt;=$N$104,N90&lt;=$N$105,N90&lt;=$N$106,N90&lt;=$N$107,N90&lt;=$N$108,N90&lt;=$N$109)),CONCATENATE(P90,"&amp;"),""),"")</f>
      </c>
      <c r="N90" s="176" t="e">
        <f>IF((O90-'VIB SPEC SHEET'!$AL$85)&gt;0,O90-'VIB SPEC SHEET'!$AL$85,10^10)</f>
        <v>#VALUE!</v>
      </c>
      <c r="O90" s="231"/>
      <c r="P90" s="232"/>
      <c r="Q90" s="233"/>
      <c r="S90" s="180"/>
      <c r="T90" s="180"/>
      <c r="U90" s="190"/>
      <c r="V90" s="198"/>
    </row>
    <row r="91" spans="1:22" ht="15">
      <c r="A91" s="174">
        <f>IF('VIB SPEC SHEET'!$K$85="NEMA 12",IF(AND(C91&gt;'VIB SPEC SHEET'!$AL$85,AND(B91&lt;=$B$80,B91&lt;=$B$81,B91&lt;=$B$82,B91&lt;=$B$83,B91&lt;=$B$84,B91&lt;=$B$85,B91&lt;=$B$86,B91&lt;=$B$87,B91&lt;=$B$88,B91&lt;=$B$89,B91&lt;=$B$90,B91&lt;=$B$91,B91&lt;=$B$92,B91&lt;=$B$93,B91&lt;=$B$94,B91&lt;=$B$95,B91&lt;=$B$96,B91&lt;=$B$97,B91&lt;=$B$98,B91&lt;=$B$99,B91&lt;=$B$100,B91&lt;=$B$101,B91&lt;=$B$102,B91&lt;=$B$103,B91&lt;=$B$104,B91&lt;=$B$105,B91&lt;=$B$106,B91&lt;=$B$107,B91&lt;=$B$108,B91&lt;=$B$109)),CONCATENATE(D91,"&amp;"),""),"")</f>
      </c>
      <c r="B91" s="176" t="e">
        <f>IF((C91-'VIB SPEC SHEET'!$AL$85)&gt;0,C91-'VIB SPEC SHEET'!$AL$85,10^10)</f>
        <v>#VALUE!</v>
      </c>
      <c r="C91" s="231"/>
      <c r="D91" s="232"/>
      <c r="E91" s="233"/>
      <c r="F91" s="197"/>
      <c r="G91" s="174">
        <f>IF('VIB SPEC SHEET'!$K$85="NEMA 4",IF(AND(I91&gt;'VIB SPEC SHEET'!$AL$85,AND(H91&lt;=$H$80,H91&lt;=$H$81,H91&lt;=$H$82,H91&lt;=$H$83,H91&lt;=$H$84,H91&lt;=$H$85,H91&lt;=$H$86,H91&lt;=$H$87,H91&lt;=$H$88,H91&lt;=$H$89,H91&lt;=$H$90,H91&lt;=$H$91,H91&lt;=$H$92,H91&lt;=$H$93,H91&lt;=$H$94,H91&lt;=$H$95,H91&lt;=$H$96,H91&lt;=$H$97,H91&lt;=$H$98,H91&lt;=$H$99,H91&lt;=$H$100,H91&lt;=$H$101,H91&lt;=$H$102,H91&lt;=$H$103,H91&lt;=$H$104,H91&lt;=$H$105,H91&lt;=$H$106,H91&lt;=$H$107,H91&lt;=$H$108,H91&lt;=$H$109)),CONCATENATE(J91,"&amp;"),""),"")</f>
      </c>
      <c r="H91" s="176" t="e">
        <f>IF((I91-'VIB SPEC SHEET'!$AL$85)&gt;0,I91-'VIB SPEC SHEET'!$AL$85,10^10)</f>
        <v>#VALUE!</v>
      </c>
      <c r="I91" s="231"/>
      <c r="J91" s="232"/>
      <c r="K91" s="233"/>
      <c r="L91" s="197"/>
      <c r="M91" s="174">
        <f>IF('VIB SPEC SHEET'!$K$85="NEMA 4X SS",IF(AND(O91&gt;'VIB SPEC SHEET'!$AL$85,AND(N91&lt;=$N$80,N91&lt;=$N$81,N91&lt;=$N$82,N91&lt;=$N$83,N91&lt;=$N$84,N91&lt;=$N$85,N91&lt;=$N$86,N91&lt;=$N$87,N91&lt;=$N$88,N91&lt;=$N$89,N91&lt;=$N$90,N91&lt;=$N$91,N91&lt;=$N$92,N91&lt;=$N$93,N91&lt;=$N$94,N91&lt;=$N$95,N91&lt;=$N$96,N91&lt;=$N$97,N91&lt;=$N$98,N91&lt;=$N$99,N91&lt;=$N$100,N91&lt;=$N$101,N91&lt;=$N$102,N91&lt;=$N$103,N91&lt;=$N$104,N91&lt;=$N$105,N91&lt;=$N$106,N91&lt;=$N$107,N91&lt;=$N$108,N91&lt;=$N$109)),CONCATENATE(P91,"&amp;"),""),"")</f>
      </c>
      <c r="N91" s="176" t="e">
        <f>IF((O91-'VIB SPEC SHEET'!$AL$85)&gt;0,O91-'VIB SPEC SHEET'!$AL$85,10^10)</f>
        <v>#VALUE!</v>
      </c>
      <c r="O91" s="231"/>
      <c r="P91" s="232"/>
      <c r="Q91" s="233"/>
      <c r="S91" s="180"/>
      <c r="T91" s="180"/>
      <c r="U91" s="190"/>
      <c r="V91" s="198"/>
    </row>
    <row r="92" spans="1:22" ht="15">
      <c r="A92" s="174">
        <f>IF('VIB SPEC SHEET'!$K$85="NEMA 12",IF(AND(C92&gt;'VIB SPEC SHEET'!$AL$85,AND(B92&lt;=$B$80,B92&lt;=$B$81,B92&lt;=$B$82,B92&lt;=$B$83,B92&lt;=$B$84,B92&lt;=$B$85,B92&lt;=$B$86,B92&lt;=$B$87,B92&lt;=$B$88,B92&lt;=$B$89,B92&lt;=$B$90,B92&lt;=$B$91,B92&lt;=$B$92,B92&lt;=$B$93,B92&lt;=$B$94,B92&lt;=$B$95,B92&lt;=$B$96,B92&lt;=$B$97,B92&lt;=$B$98,B92&lt;=$B$99,B92&lt;=$B$100,B92&lt;=$B$101,B92&lt;=$B$102,B92&lt;=$B$103,B92&lt;=$B$104,B92&lt;=$B$105,B92&lt;=$B$106,B92&lt;=$B$107,B92&lt;=$B$108,B92&lt;=$B$109)),CONCATENATE(D92,"&amp;"),""),"")</f>
      </c>
      <c r="B92" s="176" t="e">
        <f>IF((C92-'VIB SPEC SHEET'!$AL$85)&gt;0,C92-'VIB SPEC SHEET'!$AL$85,10^10)</f>
        <v>#VALUE!</v>
      </c>
      <c r="C92" s="231"/>
      <c r="D92" s="232"/>
      <c r="E92" s="233"/>
      <c r="F92" s="197"/>
      <c r="G92" s="174">
        <f>IF('VIB SPEC SHEET'!$K$85="NEMA 4",IF(AND(I92&gt;'VIB SPEC SHEET'!$AL$85,AND(H92&lt;=$H$80,H92&lt;=$H$81,H92&lt;=$H$82,H92&lt;=$H$83,H92&lt;=$H$84,H92&lt;=$H$85,H92&lt;=$H$86,H92&lt;=$H$87,H92&lt;=$H$88,H92&lt;=$H$89,H92&lt;=$H$90,H92&lt;=$H$91,H92&lt;=$H$92,H92&lt;=$H$93,H92&lt;=$H$94,H92&lt;=$H$95,H92&lt;=$H$96,H92&lt;=$H$97,H92&lt;=$H$98,H92&lt;=$H$99,H92&lt;=$H$100,H92&lt;=$H$101,H92&lt;=$H$102,H92&lt;=$H$103,H92&lt;=$H$104,H92&lt;=$H$105,H92&lt;=$H$106,H92&lt;=$H$107,H92&lt;=$H$108,H92&lt;=$H$109)),CONCATENATE(J92,"&amp;"),""),"")</f>
      </c>
      <c r="H92" s="176" t="e">
        <f>IF((I92-'VIB SPEC SHEET'!$AL$85)&gt;0,I92-'VIB SPEC SHEET'!$AL$85,10^10)</f>
        <v>#VALUE!</v>
      </c>
      <c r="I92" s="231"/>
      <c r="J92" s="232"/>
      <c r="K92" s="233"/>
      <c r="L92" s="197"/>
      <c r="M92" s="174">
        <f>IF('VIB SPEC SHEET'!$K$85="NEMA 4X SS",IF(AND(O92&gt;'VIB SPEC SHEET'!$AL$85,AND(N92&lt;=$N$80,N92&lt;=$N$81,N92&lt;=$N$82,N92&lt;=$N$83,N92&lt;=$N$84,N92&lt;=$N$85,N92&lt;=$N$86,N92&lt;=$N$87,N92&lt;=$N$88,N92&lt;=$N$89,N92&lt;=$N$90,N92&lt;=$N$91,N92&lt;=$N$92,N92&lt;=$N$93,N92&lt;=$N$94,N92&lt;=$N$95,N92&lt;=$N$96,N92&lt;=$N$97,N92&lt;=$N$98,N92&lt;=$N$99,N92&lt;=$N$100,N92&lt;=$N$101,N92&lt;=$N$102,N92&lt;=$N$103,N92&lt;=$N$104,N92&lt;=$N$105,N92&lt;=$N$106,N92&lt;=$N$107,N92&lt;=$N$108,N92&lt;=$N$109)),CONCATENATE(P92,"&amp;"),""),"")</f>
      </c>
      <c r="N92" s="176" t="e">
        <f>IF((O92-'VIB SPEC SHEET'!$AL$85)&gt;0,O92-'VIB SPEC SHEET'!$AL$85,10^10)</f>
        <v>#VALUE!</v>
      </c>
      <c r="O92" s="231"/>
      <c r="P92" s="232"/>
      <c r="Q92" s="233"/>
      <c r="S92" s="180"/>
      <c r="T92" s="180"/>
      <c r="U92" s="190"/>
      <c r="V92" s="198"/>
    </row>
    <row r="93" spans="1:22" ht="15">
      <c r="A93" s="174">
        <f>IF('VIB SPEC SHEET'!$K$85="NEMA 12",IF(AND(C93&gt;'VIB SPEC SHEET'!$AL$85,AND(B93&lt;=$B$80,B93&lt;=$B$81,B93&lt;=$B$82,B93&lt;=$B$83,B93&lt;=$B$84,B93&lt;=$B$85,B93&lt;=$B$86,B93&lt;=$B$87,B93&lt;=$B$88,B93&lt;=$B$89,B93&lt;=$B$90,B93&lt;=$B$91,B93&lt;=$B$92,B93&lt;=$B$93,B93&lt;=$B$94,B93&lt;=$B$95,B93&lt;=$B$96,B93&lt;=$B$97,B93&lt;=$B$98,B93&lt;=$B$99,B93&lt;=$B$100,B93&lt;=$B$101,B93&lt;=$B$102,B93&lt;=$B$103,B93&lt;=$B$104,B93&lt;=$B$105,B93&lt;=$B$106,B93&lt;=$B$107,B93&lt;=$B$108,B93&lt;=$B$109)),CONCATENATE(D93,"&amp;"),""),"")</f>
      </c>
      <c r="B93" s="176" t="e">
        <f>IF((C93-'VIB SPEC SHEET'!$AL$85)&gt;0,C93-'VIB SPEC SHEET'!$AL$85,10^10)</f>
        <v>#VALUE!</v>
      </c>
      <c r="C93" s="231"/>
      <c r="D93" s="232"/>
      <c r="E93" s="233"/>
      <c r="F93" s="197"/>
      <c r="G93" s="174">
        <f>IF('VIB SPEC SHEET'!$K$85="NEMA 4",IF(AND(I93&gt;'VIB SPEC SHEET'!$AL$85,AND(H93&lt;=$H$80,H93&lt;=$H$81,H93&lt;=$H$82,H93&lt;=$H$83,H93&lt;=$H$84,H93&lt;=$H$85,H93&lt;=$H$86,H93&lt;=$H$87,H93&lt;=$H$88,H93&lt;=$H$89,H93&lt;=$H$90,H93&lt;=$H$91,H93&lt;=$H$92,H93&lt;=$H$93,H93&lt;=$H$94,H93&lt;=$H$95,H93&lt;=$H$96,H93&lt;=$H$97,H93&lt;=$H$98,H93&lt;=$H$99,H93&lt;=$H$100,H93&lt;=$H$101,H93&lt;=$H$102,H93&lt;=$H$103,H93&lt;=$H$104,H93&lt;=$H$105,H93&lt;=$H$106,H93&lt;=$H$107,H93&lt;=$H$108,H93&lt;=$H$109)),CONCATENATE(J93,"&amp;"),""),"")</f>
      </c>
      <c r="H93" s="176" t="e">
        <f>IF((I93-'VIB SPEC SHEET'!$AL$85)&gt;0,I93-'VIB SPEC SHEET'!$AL$85,10^10)</f>
        <v>#VALUE!</v>
      </c>
      <c r="I93" s="231"/>
      <c r="J93" s="232"/>
      <c r="K93" s="233"/>
      <c r="L93" s="197"/>
      <c r="M93" s="174">
        <f>IF('VIB SPEC SHEET'!$K$85="NEMA 4X SS",IF(AND(O93&gt;'VIB SPEC SHEET'!$AL$85,AND(N93&lt;=$N$80,N93&lt;=$N$81,N93&lt;=$N$82,N93&lt;=$N$83,N93&lt;=$N$84,N93&lt;=$N$85,N93&lt;=$N$86,N93&lt;=$N$87,N93&lt;=$N$88,N93&lt;=$N$89,N93&lt;=$N$90,N93&lt;=$N$91,N93&lt;=$N$92,N93&lt;=$N$93,N93&lt;=$N$94,N93&lt;=$N$95,N93&lt;=$N$96,N93&lt;=$N$97,N93&lt;=$N$98,N93&lt;=$N$99,N93&lt;=$N$100,N93&lt;=$N$101,N93&lt;=$N$102,N93&lt;=$N$103,N93&lt;=$N$104,N93&lt;=$N$105,N93&lt;=$N$106,N93&lt;=$N$107,N93&lt;=$N$108,N93&lt;=$N$109)),CONCATENATE(P93,"&amp;"),""),"")</f>
      </c>
      <c r="N93" s="176" t="e">
        <f>IF((O93-'VIB SPEC SHEET'!$AL$85)&gt;0,O93-'VIB SPEC SHEET'!$AL$85,10^10)</f>
        <v>#VALUE!</v>
      </c>
      <c r="O93" s="231"/>
      <c r="P93" s="232"/>
      <c r="Q93" s="233"/>
      <c r="S93" s="180"/>
      <c r="T93" s="180"/>
      <c r="U93" s="190"/>
      <c r="V93" s="198"/>
    </row>
    <row r="94" spans="1:22" ht="15">
      <c r="A94" s="174">
        <f>IF('VIB SPEC SHEET'!$K$85="NEMA 12",IF(AND(C94&gt;'VIB SPEC SHEET'!$AL$85,AND(B94&lt;=$B$80,B94&lt;=$B$81,B94&lt;=$B$82,B94&lt;=$B$83,B94&lt;=$B$84,B94&lt;=$B$85,B94&lt;=$B$86,B94&lt;=$B$87,B94&lt;=$B$88,B94&lt;=$B$89,B94&lt;=$B$90,B94&lt;=$B$91,B94&lt;=$B$92,B94&lt;=$B$93,B94&lt;=$B$94,B94&lt;=$B$95,B94&lt;=$B$96,B94&lt;=$B$97,B94&lt;=$B$98,B94&lt;=$B$99,B94&lt;=$B$100,B94&lt;=$B$101,B94&lt;=$B$102,B94&lt;=$B$103,B94&lt;=$B$104,B94&lt;=$B$105,B94&lt;=$B$106,B94&lt;=$B$107,B94&lt;=$B$108,B94&lt;=$B$109)),CONCATENATE(D94,"&amp;"),""),"")</f>
      </c>
      <c r="B94" s="176" t="e">
        <f>IF((C94-'VIB SPEC SHEET'!$AL$85)&gt;0,C94-'VIB SPEC SHEET'!$AL$85,10^10)</f>
        <v>#VALUE!</v>
      </c>
      <c r="C94" s="231"/>
      <c r="D94" s="232"/>
      <c r="E94" s="233"/>
      <c r="F94" s="197"/>
      <c r="G94" s="174">
        <f>IF('VIB SPEC SHEET'!$K$85="NEMA 4",IF(AND(I94&gt;'VIB SPEC SHEET'!$AL$85,AND(H94&lt;=$H$80,H94&lt;=$H$81,H94&lt;=$H$82,H94&lt;=$H$83,H94&lt;=$H$84,H94&lt;=$H$85,H94&lt;=$H$86,H94&lt;=$H$87,H94&lt;=$H$88,H94&lt;=$H$89,H94&lt;=$H$90,H94&lt;=$H$91,H94&lt;=$H$92,H94&lt;=$H$93,H94&lt;=$H$94,H94&lt;=$H$95,H94&lt;=$H$96,H94&lt;=$H$97,H94&lt;=$H$98,H94&lt;=$H$99,H94&lt;=$H$100,H94&lt;=$H$101,H94&lt;=$H$102,H94&lt;=$H$103,H94&lt;=$H$104,H94&lt;=$H$105,H94&lt;=$H$106,H94&lt;=$H$107,H94&lt;=$H$108,H94&lt;=$H$109)),CONCATENATE(J94,"&amp;"),""),"")</f>
      </c>
      <c r="H94" s="176" t="e">
        <f>IF((I94-'VIB SPEC SHEET'!$AL$85)&gt;0,I94-'VIB SPEC SHEET'!$AL$85,10^10)</f>
        <v>#VALUE!</v>
      </c>
      <c r="I94" s="231"/>
      <c r="J94" s="232"/>
      <c r="K94" s="233"/>
      <c r="L94" s="197"/>
      <c r="M94" s="174">
        <f>IF('VIB SPEC SHEET'!$K$85="NEMA 4X SS",IF(AND(O94&gt;'VIB SPEC SHEET'!$AL$85,AND(N94&lt;=$N$80,N94&lt;=$N$81,N94&lt;=$N$82,N94&lt;=$N$83,N94&lt;=$N$84,N94&lt;=$N$85,N94&lt;=$N$86,N94&lt;=$N$87,N94&lt;=$N$88,N94&lt;=$N$89,N94&lt;=$N$90,N94&lt;=$N$91,N94&lt;=$N$92,N94&lt;=$N$93,N94&lt;=$N$94,N94&lt;=$N$95,N94&lt;=$N$96,N94&lt;=$N$97,N94&lt;=$N$98,N94&lt;=$N$99,N94&lt;=$N$100,N94&lt;=$N$101,N94&lt;=$N$102,N94&lt;=$N$103,N94&lt;=$N$104,N94&lt;=$N$105,N94&lt;=$N$106,N94&lt;=$N$107,N94&lt;=$N$108,N94&lt;=$N$109)),CONCATENATE(P94,"&amp;"),""),"")</f>
      </c>
      <c r="N94" s="176" t="e">
        <f>IF((O94-'VIB SPEC SHEET'!$AL$85)&gt;0,O94-'VIB SPEC SHEET'!$AL$85,10^10)</f>
        <v>#VALUE!</v>
      </c>
      <c r="O94" s="231"/>
      <c r="P94" s="232"/>
      <c r="Q94" s="233"/>
      <c r="S94" s="180"/>
      <c r="T94" s="180"/>
      <c r="U94" s="190"/>
      <c r="V94" s="198"/>
    </row>
    <row r="95" spans="1:22" ht="15">
      <c r="A95" s="174">
        <f>IF('VIB SPEC SHEET'!$K$85="NEMA 12",IF(AND(C95&gt;'VIB SPEC SHEET'!$AL$85,AND(B95&lt;=$B$80,B95&lt;=$B$81,B95&lt;=$B$82,B95&lt;=$B$83,B95&lt;=$B$84,B95&lt;=$B$85,B95&lt;=$B$86,B95&lt;=$B$87,B95&lt;=$B$88,B95&lt;=$B$89,B95&lt;=$B$90,B95&lt;=$B$91,B95&lt;=$B$92,B95&lt;=$B$93,B95&lt;=$B$94,B95&lt;=$B$95,B95&lt;=$B$96,B95&lt;=$B$97,B95&lt;=$B$98,B95&lt;=$B$99,B95&lt;=$B$100,B95&lt;=$B$101,B95&lt;=$B$102,B95&lt;=$B$103,B95&lt;=$B$104,B95&lt;=$B$105,B95&lt;=$B$106,B95&lt;=$B$107,B95&lt;=$B$108,B95&lt;=$B$109)),CONCATENATE(D95,"&amp;"),""),"")</f>
      </c>
      <c r="B95" s="176" t="e">
        <f>IF((C95-'VIB SPEC SHEET'!$AL$85)&gt;0,C95-'VIB SPEC SHEET'!$AL$85,10^10)</f>
        <v>#VALUE!</v>
      </c>
      <c r="C95" s="231"/>
      <c r="D95" s="232"/>
      <c r="E95" s="233"/>
      <c r="F95" s="197"/>
      <c r="G95" s="174">
        <f>IF('VIB SPEC SHEET'!$K$85="NEMA 4",IF(AND(I95&gt;'VIB SPEC SHEET'!$AL$85,AND(H95&lt;=$H$80,H95&lt;=$H$81,H95&lt;=$H$82,H95&lt;=$H$83,H95&lt;=$H$84,H95&lt;=$H$85,H95&lt;=$H$86,H95&lt;=$H$87,H95&lt;=$H$88,H95&lt;=$H$89,H95&lt;=$H$90,H95&lt;=$H$91,H95&lt;=$H$92,H95&lt;=$H$93,H95&lt;=$H$94,H95&lt;=$H$95,H95&lt;=$H$96,H95&lt;=$H$97,H95&lt;=$H$98,H95&lt;=$H$99,H95&lt;=$H$100,H95&lt;=$H$101,H95&lt;=$H$102,H95&lt;=$H$103,H95&lt;=$H$104,H95&lt;=$H$105,H95&lt;=$H$106,H95&lt;=$H$107,H95&lt;=$H$108,H95&lt;=$H$109)),CONCATENATE(J95,"&amp;"),""),"")</f>
      </c>
      <c r="H95" s="176" t="e">
        <f>IF((I95-'VIB SPEC SHEET'!$AL$85)&gt;0,I95-'VIB SPEC SHEET'!$AL$85,10^10)</f>
        <v>#VALUE!</v>
      </c>
      <c r="I95" s="231"/>
      <c r="J95" s="232"/>
      <c r="K95" s="233"/>
      <c r="L95" s="197"/>
      <c r="M95" s="174">
        <f>IF('VIB SPEC SHEET'!$K$85="NEMA 4X SS",IF(AND(O95&gt;'VIB SPEC SHEET'!$AL$85,AND(N95&lt;=$N$80,N95&lt;=$N$81,N95&lt;=$N$82,N95&lt;=$N$83,N95&lt;=$N$84,N95&lt;=$N$85,N95&lt;=$N$86,N95&lt;=$N$87,N95&lt;=$N$88,N95&lt;=$N$89,N95&lt;=$N$90,N95&lt;=$N$91,N95&lt;=$N$92,N95&lt;=$N$93,N95&lt;=$N$94,N95&lt;=$N$95,N95&lt;=$N$96,N95&lt;=$N$97,N95&lt;=$N$98,N95&lt;=$N$99,N95&lt;=$N$100,N95&lt;=$N$101,N95&lt;=$N$102,N95&lt;=$N$103,N95&lt;=$N$104,N95&lt;=$N$105,N95&lt;=$N$106,N95&lt;=$N$107,N95&lt;=$N$108,N95&lt;=$N$109)),CONCATENATE(P95,"&amp;"),""),"")</f>
      </c>
      <c r="N95" s="176" t="e">
        <f>IF((O95-'VIB SPEC SHEET'!$AL$85)&gt;0,O95-'VIB SPEC SHEET'!$AL$85,10^10)</f>
        <v>#VALUE!</v>
      </c>
      <c r="O95" s="231"/>
      <c r="P95" s="232"/>
      <c r="Q95" s="233"/>
      <c r="S95" s="180"/>
      <c r="T95" s="180"/>
      <c r="U95" s="190"/>
      <c r="V95" s="198"/>
    </row>
    <row r="96" spans="1:22" ht="15">
      <c r="A96" s="174">
        <f>IF('VIB SPEC SHEET'!$K$85="NEMA 12",IF(AND(C96&gt;'VIB SPEC SHEET'!$AL$85,AND(B96&lt;=$B$80,B96&lt;=$B$81,B96&lt;=$B$82,B96&lt;=$B$83,B96&lt;=$B$84,B96&lt;=$B$85,B96&lt;=$B$86,B96&lt;=$B$87,B96&lt;=$B$88,B96&lt;=$B$89,B96&lt;=$B$90,B96&lt;=$B$91,B96&lt;=$B$92,B96&lt;=$B$93,B96&lt;=$B$94,B96&lt;=$B$95,B96&lt;=$B$96,B96&lt;=$B$97,B96&lt;=$B$98,B96&lt;=$B$99,B96&lt;=$B$100,B96&lt;=$B$101,B96&lt;=$B$102,B96&lt;=$B$103,B96&lt;=$B$104,B96&lt;=$B$105,B96&lt;=$B$106,B96&lt;=$B$107,B96&lt;=$B$108,B96&lt;=$B$109)),CONCATENATE(D96,"&amp;"),""),"")</f>
      </c>
      <c r="B96" s="176" t="e">
        <f>IF((C96-'VIB SPEC SHEET'!$AL$85)&gt;0,C96-'VIB SPEC SHEET'!$AL$85,10^10)</f>
        <v>#VALUE!</v>
      </c>
      <c r="C96" s="231"/>
      <c r="D96" s="232"/>
      <c r="E96" s="233"/>
      <c r="F96" s="197"/>
      <c r="G96" s="174">
        <f>IF('VIB SPEC SHEET'!$K$85="NEMA 4",IF(AND(I96&gt;'VIB SPEC SHEET'!$AL$85,AND(H96&lt;=$H$80,H96&lt;=$H$81,H96&lt;=$H$82,H96&lt;=$H$83,H96&lt;=$H$84,H96&lt;=$H$85,H96&lt;=$H$86,H96&lt;=$H$87,H96&lt;=$H$88,H96&lt;=$H$89,H96&lt;=$H$90,H96&lt;=$H$91,H96&lt;=$H$92,H96&lt;=$H$93,H96&lt;=$H$94,H96&lt;=$H$95,H96&lt;=$H$96,H96&lt;=$H$97,H96&lt;=$H$98,H96&lt;=$H$99,H96&lt;=$H$100,H96&lt;=$H$101,H96&lt;=$H$102,H96&lt;=$H$103,H96&lt;=$H$104,H96&lt;=$H$105,H96&lt;=$H$106,H96&lt;=$H$107,H96&lt;=$H$108,H96&lt;=$H$109)),CONCATENATE(J96,"&amp;"),""),"")</f>
      </c>
      <c r="H96" s="176" t="e">
        <f>IF((I96-'VIB SPEC SHEET'!$AL$85)&gt;0,I96-'VIB SPEC SHEET'!$AL$85,10^10)</f>
        <v>#VALUE!</v>
      </c>
      <c r="I96" s="231"/>
      <c r="J96" s="232"/>
      <c r="K96" s="233"/>
      <c r="L96" s="197"/>
      <c r="M96" s="174">
        <f>IF('VIB SPEC SHEET'!$K$85="NEMA 4X SS",IF(AND(O96&gt;'VIB SPEC SHEET'!$AL$85,AND(N96&lt;=$N$80,N96&lt;=$N$81,N96&lt;=$N$82,N96&lt;=$N$83,N96&lt;=$N$84,N96&lt;=$N$85,N96&lt;=$N$86,N96&lt;=$N$87,N96&lt;=$N$88,N96&lt;=$N$89,N96&lt;=$N$90,N96&lt;=$N$91,N96&lt;=$N$92,N96&lt;=$N$93,N96&lt;=$N$94,N96&lt;=$N$95,N96&lt;=$N$96,N96&lt;=$N$97,N96&lt;=$N$98,N96&lt;=$N$99,N96&lt;=$N$100,N96&lt;=$N$101,N96&lt;=$N$102,N96&lt;=$N$103,N96&lt;=$N$104,N96&lt;=$N$105,N96&lt;=$N$106,N96&lt;=$N$107,N96&lt;=$N$108,N96&lt;=$N$109)),CONCATENATE(P96,"&amp;"),""),"")</f>
      </c>
      <c r="N96" s="176" t="e">
        <f>IF((O96-'VIB SPEC SHEET'!$AL$85)&gt;0,O96-'VIB SPEC SHEET'!$AL$85,10^10)</f>
        <v>#VALUE!</v>
      </c>
      <c r="O96" s="231"/>
      <c r="P96" s="232"/>
      <c r="Q96" s="233"/>
      <c r="S96" s="180"/>
      <c r="T96" s="180"/>
      <c r="U96" s="190"/>
      <c r="V96" s="198"/>
    </row>
    <row r="97" spans="1:22" ht="15">
      <c r="A97" s="174">
        <f>IF('VIB SPEC SHEET'!$K$85="NEMA 12",IF(AND(C97&gt;'VIB SPEC SHEET'!$AL$85,AND(B97&lt;=$B$80,B97&lt;=$B$81,B97&lt;=$B$82,B97&lt;=$B$83,B97&lt;=$B$84,B97&lt;=$B$85,B97&lt;=$B$86,B97&lt;=$B$87,B97&lt;=$B$88,B97&lt;=$B$89,B97&lt;=$B$90,B97&lt;=$B$91,B97&lt;=$B$92,B97&lt;=$B$93,B97&lt;=$B$94,B97&lt;=$B$95,B97&lt;=$B$96,B97&lt;=$B$97,B97&lt;=$B$98,B97&lt;=$B$99,B97&lt;=$B$100,B97&lt;=$B$101,B97&lt;=$B$102,B97&lt;=$B$103,B97&lt;=$B$104,B97&lt;=$B$105,B97&lt;=$B$106,B97&lt;=$B$107,B97&lt;=$B$108,B97&lt;=$B$109)),CONCATENATE(D97,"&amp;"),""),"")</f>
      </c>
      <c r="B97" s="176" t="e">
        <f>IF((C97-'VIB SPEC SHEET'!$AL$85)&gt;0,C97-'VIB SPEC SHEET'!$AL$85,10^10)</f>
        <v>#VALUE!</v>
      </c>
      <c r="C97" s="231"/>
      <c r="D97" s="232"/>
      <c r="E97" s="233"/>
      <c r="F97" s="197"/>
      <c r="G97" s="174">
        <f>IF('VIB SPEC SHEET'!$K$85="NEMA 4",IF(AND(I97&gt;'VIB SPEC SHEET'!$AL$85,AND(H97&lt;=$H$80,H97&lt;=$H$81,H97&lt;=$H$82,H97&lt;=$H$83,H97&lt;=$H$84,H97&lt;=$H$85,H97&lt;=$H$86,H97&lt;=$H$87,H97&lt;=$H$88,H97&lt;=$H$89,H97&lt;=$H$90,H97&lt;=$H$91,H97&lt;=$H$92,H97&lt;=$H$93,H97&lt;=$H$94,H97&lt;=$H$95,H97&lt;=$H$96,H97&lt;=$H$97,H97&lt;=$H$98,H97&lt;=$H$99,H97&lt;=$H$100,H97&lt;=$H$101,H97&lt;=$H$102,H97&lt;=$H$103,H97&lt;=$H$104,H97&lt;=$H$105,H97&lt;=$H$106,H97&lt;=$H$107,H97&lt;=$H$108,H97&lt;=$H$109)),CONCATENATE(J97,"&amp;"),""),"")</f>
      </c>
      <c r="H97" s="176" t="e">
        <f>IF((I97-'VIB SPEC SHEET'!$AL$85)&gt;0,I97-'VIB SPEC SHEET'!$AL$85,10^10)</f>
        <v>#VALUE!</v>
      </c>
      <c r="I97" s="231"/>
      <c r="J97" s="232"/>
      <c r="K97" s="233"/>
      <c r="L97" s="197"/>
      <c r="M97" s="174">
        <f>IF('VIB SPEC SHEET'!$K$85="NEMA 4X SS",IF(AND(O97&gt;'VIB SPEC SHEET'!$AL$85,AND(N97&lt;=$N$80,N97&lt;=$N$81,N97&lt;=$N$82,N97&lt;=$N$83,N97&lt;=$N$84,N97&lt;=$N$85,N97&lt;=$N$86,N97&lt;=$N$87,N97&lt;=$N$88,N97&lt;=$N$89,N97&lt;=$N$90,N97&lt;=$N$91,N97&lt;=$N$92,N97&lt;=$N$93,N97&lt;=$N$94,N97&lt;=$N$95,N97&lt;=$N$96,N97&lt;=$N$97,N97&lt;=$N$98,N97&lt;=$N$99,N97&lt;=$N$100,N97&lt;=$N$101,N97&lt;=$N$102,N97&lt;=$N$103,N97&lt;=$N$104,N97&lt;=$N$105,N97&lt;=$N$106,N97&lt;=$N$107,N97&lt;=$N$108,N97&lt;=$N$109)),CONCATENATE(P97,"&amp;"),""),"")</f>
      </c>
      <c r="N97" s="176" t="e">
        <f>IF((O97-'VIB SPEC SHEET'!$AL$85)&gt;0,O97-'VIB SPEC SHEET'!$AL$85,10^10)</f>
        <v>#VALUE!</v>
      </c>
      <c r="O97" s="231"/>
      <c r="P97" s="232"/>
      <c r="Q97" s="233"/>
      <c r="S97" s="180"/>
      <c r="T97" s="180"/>
      <c r="U97" s="190"/>
      <c r="V97" s="198"/>
    </row>
    <row r="98" spans="1:22" ht="15">
      <c r="A98" s="174">
        <f>IF('VIB SPEC SHEET'!$K$85="NEMA 12",IF(AND(C98&gt;'VIB SPEC SHEET'!$AL$85,AND(B98&lt;=$B$80,B98&lt;=$B$81,B98&lt;=$B$82,B98&lt;=$B$83,B98&lt;=$B$84,B98&lt;=$B$85,B98&lt;=$B$86,B98&lt;=$B$87,B98&lt;=$B$88,B98&lt;=$B$89,B98&lt;=$B$90,B98&lt;=$B$91,B98&lt;=$B$92,B98&lt;=$B$93,B98&lt;=$B$94,B98&lt;=$B$95,B98&lt;=$B$96,B98&lt;=$B$97,B98&lt;=$B$98,B98&lt;=$B$99,B98&lt;=$B$100,B98&lt;=$B$101,B98&lt;=$B$102,B98&lt;=$B$103,B98&lt;=$B$104,B98&lt;=$B$105,B98&lt;=$B$106,B98&lt;=$B$107,B98&lt;=$B$108,B98&lt;=$B$109)),CONCATENATE(D98,"&amp;"),""),"")</f>
      </c>
      <c r="B98" s="176" t="e">
        <f>IF((C98-'VIB SPEC SHEET'!$AL$85)&gt;0,C98-'VIB SPEC SHEET'!$AL$85,10^10)</f>
        <v>#VALUE!</v>
      </c>
      <c r="C98" s="231"/>
      <c r="D98" s="232"/>
      <c r="E98" s="233"/>
      <c r="F98" s="197"/>
      <c r="G98" s="174">
        <f>IF('VIB SPEC SHEET'!$K$85="NEMA 4",IF(AND(I98&gt;'VIB SPEC SHEET'!$AL$85,AND(H98&lt;=$H$80,H98&lt;=$H$81,H98&lt;=$H$82,H98&lt;=$H$83,H98&lt;=$H$84,H98&lt;=$H$85,H98&lt;=$H$86,H98&lt;=$H$87,H98&lt;=$H$88,H98&lt;=$H$89,H98&lt;=$H$90,H98&lt;=$H$91,H98&lt;=$H$92,H98&lt;=$H$93,H98&lt;=$H$94,H98&lt;=$H$95,H98&lt;=$H$96,H98&lt;=$H$97,H98&lt;=$H$98,H98&lt;=$H$99,H98&lt;=$H$100,H98&lt;=$H$101,H98&lt;=$H$102,H98&lt;=$H$103,H98&lt;=$H$104,H98&lt;=$H$105,H98&lt;=$H$106,H98&lt;=$H$107,H98&lt;=$H$108,H98&lt;=$H$109)),CONCATENATE(J98,"&amp;"),""),"")</f>
      </c>
      <c r="H98" s="176" t="e">
        <f>IF((I98-'VIB SPEC SHEET'!$AL$85)&gt;0,I98-'VIB SPEC SHEET'!$AL$85,10^10)</f>
        <v>#VALUE!</v>
      </c>
      <c r="I98" s="231"/>
      <c r="J98" s="232"/>
      <c r="K98" s="233"/>
      <c r="L98" s="197"/>
      <c r="M98" s="174">
        <f>IF('VIB SPEC SHEET'!$K$85="NEMA 4X SS",IF(AND(O98&gt;'VIB SPEC SHEET'!$AL$85,AND(N98&lt;=$N$80,N98&lt;=$N$81,N98&lt;=$N$82,N98&lt;=$N$83,N98&lt;=$N$84,N98&lt;=$N$85,N98&lt;=$N$86,N98&lt;=$N$87,N98&lt;=$N$88,N98&lt;=$N$89,N98&lt;=$N$90,N98&lt;=$N$91,N98&lt;=$N$92,N98&lt;=$N$93,N98&lt;=$N$94,N98&lt;=$N$95,N98&lt;=$N$96,N98&lt;=$N$97,N98&lt;=$N$98,N98&lt;=$N$99,N98&lt;=$N$100,N98&lt;=$N$101,N98&lt;=$N$102,N98&lt;=$N$103,N98&lt;=$N$104,N98&lt;=$N$105,N98&lt;=$N$106,N98&lt;=$N$107,N98&lt;=$N$108,N98&lt;=$N$109)),CONCATENATE(P98,"&amp;"),""),"")</f>
      </c>
      <c r="N98" s="176" t="e">
        <f>IF((O98-'VIB SPEC SHEET'!$AL$85)&gt;0,O98-'VIB SPEC SHEET'!$AL$85,10^10)</f>
        <v>#VALUE!</v>
      </c>
      <c r="O98" s="231"/>
      <c r="P98" s="232"/>
      <c r="Q98" s="233"/>
      <c r="S98" s="180"/>
      <c r="T98" s="180"/>
      <c r="U98" s="190"/>
      <c r="V98" s="198"/>
    </row>
    <row r="99" spans="1:22" ht="15">
      <c r="A99" s="174">
        <f>IF('VIB SPEC SHEET'!$K$85="NEMA 12",IF(AND(C99&gt;'VIB SPEC SHEET'!$AL$85,AND(B99&lt;=$B$80,B99&lt;=$B$81,B99&lt;=$B$82,B99&lt;=$B$83,B99&lt;=$B$84,B99&lt;=$B$85,B99&lt;=$B$86,B99&lt;=$B$87,B99&lt;=$B$88,B99&lt;=$B$89,B99&lt;=$B$90,B99&lt;=$B$91,B99&lt;=$B$92,B99&lt;=$B$93,B99&lt;=$B$94,B99&lt;=$B$95,B99&lt;=$B$96,B99&lt;=$B$97,B99&lt;=$B$98,B99&lt;=$B$99,B99&lt;=$B$100,B99&lt;=$B$101,B99&lt;=$B$102,B99&lt;=$B$103,B99&lt;=$B$104,B99&lt;=$B$105,B99&lt;=$B$106,B99&lt;=$B$107,B99&lt;=$B$108,B99&lt;=$B$109)),CONCATENATE(D99,"&amp;"),""),"")</f>
      </c>
      <c r="B99" s="176" t="e">
        <f>IF((C99-'VIB SPEC SHEET'!$AL$85)&gt;0,C99-'VIB SPEC SHEET'!$AL$85,10^10)</f>
        <v>#VALUE!</v>
      </c>
      <c r="C99" s="231"/>
      <c r="D99" s="232"/>
      <c r="E99" s="233"/>
      <c r="F99" s="197"/>
      <c r="G99" s="174">
        <f>IF('VIB SPEC SHEET'!$K$85="NEMA 4",IF(AND(I99&gt;'VIB SPEC SHEET'!$AL$85,AND(H99&lt;=$H$80,H99&lt;=$H$81,H99&lt;=$H$82,H99&lt;=$H$83,H99&lt;=$H$84,H99&lt;=$H$85,H99&lt;=$H$86,H99&lt;=$H$87,H99&lt;=$H$88,H99&lt;=$H$89,H99&lt;=$H$90,H99&lt;=$H$91,H99&lt;=$H$92,H99&lt;=$H$93,H99&lt;=$H$94,H99&lt;=$H$95,H99&lt;=$H$96,H99&lt;=$H$97,H99&lt;=$H$98,H99&lt;=$H$99,H99&lt;=$H$100,H99&lt;=$H$101,H99&lt;=$H$102,H99&lt;=$H$103,H99&lt;=$H$104,H99&lt;=$H$105,H99&lt;=$H$106,H99&lt;=$H$107,H99&lt;=$H$108,H99&lt;=$H$109)),CONCATENATE(J99,"&amp;"),""),"")</f>
      </c>
      <c r="H99" s="176" t="e">
        <f>IF((I99-'VIB SPEC SHEET'!$AL$85)&gt;0,I99-'VIB SPEC SHEET'!$AL$85,10^10)</f>
        <v>#VALUE!</v>
      </c>
      <c r="I99" s="231"/>
      <c r="J99" s="232"/>
      <c r="K99" s="233"/>
      <c r="L99" s="197"/>
      <c r="M99" s="174">
        <f>IF('VIB SPEC SHEET'!$K$85="NEMA 4X SS",IF(AND(O99&gt;'VIB SPEC SHEET'!$AL$85,AND(N99&lt;=$N$80,N99&lt;=$N$81,N99&lt;=$N$82,N99&lt;=$N$83,N99&lt;=$N$84,N99&lt;=$N$85,N99&lt;=$N$86,N99&lt;=$N$87,N99&lt;=$N$88,N99&lt;=$N$89,N99&lt;=$N$90,N99&lt;=$N$91,N99&lt;=$N$92,N99&lt;=$N$93,N99&lt;=$N$94,N99&lt;=$N$95,N99&lt;=$N$96,N99&lt;=$N$97,N99&lt;=$N$98,N99&lt;=$N$99,N99&lt;=$N$100,N99&lt;=$N$101,N99&lt;=$N$102,N99&lt;=$N$103,N99&lt;=$N$104,N99&lt;=$N$105,N99&lt;=$N$106,N99&lt;=$N$107,N99&lt;=$N$108,N99&lt;=$N$109)),CONCATENATE(P99,"&amp;"),""),"")</f>
      </c>
      <c r="N99" s="176" t="e">
        <f>IF((O99-'VIB SPEC SHEET'!$AL$85)&gt;0,O99-'VIB SPEC SHEET'!$AL$85,10^10)</f>
        <v>#VALUE!</v>
      </c>
      <c r="O99" s="231"/>
      <c r="P99" s="232"/>
      <c r="Q99" s="233"/>
      <c r="S99" s="180"/>
      <c r="T99" s="180"/>
      <c r="U99" s="190"/>
      <c r="V99" s="198"/>
    </row>
    <row r="100" spans="1:22" ht="15">
      <c r="A100" s="174">
        <f>IF('VIB SPEC SHEET'!$K$85="NEMA 12",IF(AND(C100&gt;'VIB SPEC SHEET'!$AL$85,AND(B100&lt;=$B$80,B100&lt;=$B$81,B100&lt;=$B$82,B100&lt;=$B$83,B100&lt;=$B$84,B100&lt;=$B$85,B100&lt;=$B$86,B100&lt;=$B$87,B100&lt;=$B$88,B100&lt;=$B$89,B100&lt;=$B$90,B100&lt;=$B$91,B100&lt;=$B$92,B100&lt;=$B$93,B100&lt;=$B$94,B100&lt;=$B$95,B100&lt;=$B$96,B100&lt;=$B$97,B100&lt;=$B$98,B100&lt;=$B$99,B100&lt;=$B$100,B100&lt;=$B$101,B100&lt;=$B$102,B100&lt;=$B$103,B100&lt;=$B$104,B100&lt;=$B$105,B100&lt;=$B$106,B100&lt;=$B$107,B100&lt;=$B$108,B100&lt;=$B$109)),CONCATENATE(D100,"&amp;"),""),"")</f>
      </c>
      <c r="B100" s="176" t="e">
        <f>IF((C100-'VIB SPEC SHEET'!$AL$85)&gt;0,C100-'VIB SPEC SHEET'!$AL$85,10^10)</f>
        <v>#VALUE!</v>
      </c>
      <c r="C100" s="231"/>
      <c r="D100" s="232"/>
      <c r="E100" s="233"/>
      <c r="F100" s="197"/>
      <c r="G100" s="174">
        <f>IF('VIB SPEC SHEET'!$K$85="NEMA 4",IF(AND(I100&gt;'VIB SPEC SHEET'!$AL$85,AND(H100&lt;=$H$80,H100&lt;=$H$81,H100&lt;=$H$82,H100&lt;=$H$83,H100&lt;=$H$84,H100&lt;=$H$85,H100&lt;=$H$86,H100&lt;=$H$87,H100&lt;=$H$88,H100&lt;=$H$89,H100&lt;=$H$90,H100&lt;=$H$91,H100&lt;=$H$92,H100&lt;=$H$93,H100&lt;=$H$94,H100&lt;=$H$95,H100&lt;=$H$96,H100&lt;=$H$97,H100&lt;=$H$98,H100&lt;=$H$99,H100&lt;=$H$100,H100&lt;=$H$101,H100&lt;=$H$102,H100&lt;=$H$103,H100&lt;=$H$104,H100&lt;=$H$105,H100&lt;=$H$106,H100&lt;=$H$107,H100&lt;=$H$108,H100&lt;=$H$109)),CONCATENATE(J100,"&amp;"),""),"")</f>
      </c>
      <c r="H100" s="176" t="e">
        <f>IF((I100-'VIB SPEC SHEET'!$AL$85)&gt;0,I100-'VIB SPEC SHEET'!$AL$85,10^10)</f>
        <v>#VALUE!</v>
      </c>
      <c r="I100" s="231"/>
      <c r="J100" s="232"/>
      <c r="K100" s="233"/>
      <c r="L100" s="197"/>
      <c r="M100" s="174">
        <f>IF('VIB SPEC SHEET'!$K$85="NEMA 4X SS",IF(AND(O100&gt;'VIB SPEC SHEET'!$AL$85,AND(N100&lt;=$N$80,N100&lt;=$N$81,N100&lt;=$N$82,N100&lt;=$N$83,N100&lt;=$N$84,N100&lt;=$N$85,N100&lt;=$N$86,N100&lt;=$N$87,N100&lt;=$N$88,N100&lt;=$N$89,N100&lt;=$N$90,N100&lt;=$N$91,N100&lt;=$N$92,N100&lt;=$N$93,N100&lt;=$N$94,N100&lt;=$N$95,N100&lt;=$N$96,N100&lt;=$N$97,N100&lt;=$N$98,N100&lt;=$N$99,N100&lt;=$N$100,N100&lt;=$N$101,N100&lt;=$N$102,N100&lt;=$N$103,N100&lt;=$N$104,N100&lt;=$N$105,N100&lt;=$N$106,N100&lt;=$N$107,N100&lt;=$N$108,N100&lt;=$N$109)),CONCATENATE(P100,"&amp;"),""),"")</f>
      </c>
      <c r="N100" s="176" t="e">
        <f>IF((O100-'VIB SPEC SHEET'!$AL$85)&gt;0,O100-'VIB SPEC SHEET'!$AL$85,10^10)</f>
        <v>#VALUE!</v>
      </c>
      <c r="O100" s="231"/>
      <c r="P100" s="232"/>
      <c r="Q100" s="233"/>
      <c r="S100" s="180"/>
      <c r="T100" s="180"/>
      <c r="U100" s="190"/>
      <c r="V100" s="198"/>
    </row>
    <row r="101" spans="1:22" ht="15">
      <c r="A101" s="174">
        <f>IF('VIB SPEC SHEET'!$K$85="NEMA 12",IF(AND(C101&gt;'VIB SPEC SHEET'!$AL$85,AND(B101&lt;=$B$80,B101&lt;=$B$81,B101&lt;=$B$82,B101&lt;=$B$83,B101&lt;=$B$84,B101&lt;=$B$85,B101&lt;=$B$86,B101&lt;=$B$87,B101&lt;=$B$88,B101&lt;=$B$89,B101&lt;=$B$90,B101&lt;=$B$91,B101&lt;=$B$92,B101&lt;=$B$93,B101&lt;=$B$94,B101&lt;=$B$95,B101&lt;=$B$96,B101&lt;=$B$97,B101&lt;=$B$98,B101&lt;=$B$99,B101&lt;=$B$100,B101&lt;=$B$101,B101&lt;=$B$102,B101&lt;=$B$103,B101&lt;=$B$104,B101&lt;=$B$105,B101&lt;=$B$106,B101&lt;=$B$107,B101&lt;=$B$108,B101&lt;=$B$109)),CONCATENATE(D101,"&amp;"),""),"")</f>
      </c>
      <c r="B101" s="176" t="e">
        <f>IF((C101-'VIB SPEC SHEET'!$AL$85)&gt;0,C101-'VIB SPEC SHEET'!$AL$85,10^10)</f>
        <v>#VALUE!</v>
      </c>
      <c r="C101" s="231"/>
      <c r="D101" s="232"/>
      <c r="E101" s="233"/>
      <c r="F101" s="197"/>
      <c r="G101" s="174">
        <f>IF('VIB SPEC SHEET'!$K$85="NEMA 4",IF(AND(I101&gt;'VIB SPEC SHEET'!$AL$85,AND(H101&lt;=$H$80,H101&lt;=$H$81,H101&lt;=$H$82,H101&lt;=$H$83,H101&lt;=$H$84,H101&lt;=$H$85,H101&lt;=$H$86,H101&lt;=$H$87,H101&lt;=$H$88,H101&lt;=$H$89,H101&lt;=$H$90,H101&lt;=$H$91,H101&lt;=$H$92,H101&lt;=$H$93,H101&lt;=$H$94,H101&lt;=$H$95,H101&lt;=$H$96,H101&lt;=$H$97,H101&lt;=$H$98,H101&lt;=$H$99,H101&lt;=$H$100,H101&lt;=$H$101,H101&lt;=$H$102,H101&lt;=$H$103,H101&lt;=$H$104,H101&lt;=$H$105,H101&lt;=$H$106,H101&lt;=$H$107,H101&lt;=$H$108,H101&lt;=$H$109)),CONCATENATE(J101,"&amp;"),""),"")</f>
      </c>
      <c r="H101" s="176" t="e">
        <f>IF((I101-'VIB SPEC SHEET'!$AL$85)&gt;0,I101-'VIB SPEC SHEET'!$AL$85,10^10)</f>
        <v>#VALUE!</v>
      </c>
      <c r="I101" s="231"/>
      <c r="J101" s="232"/>
      <c r="K101" s="233"/>
      <c r="L101" s="197"/>
      <c r="M101" s="174">
        <f>IF('VIB SPEC SHEET'!$K$85="NEMA 4X SS",IF(AND(O101&gt;'VIB SPEC SHEET'!$AL$85,AND(N101&lt;=$N$80,N101&lt;=$N$81,N101&lt;=$N$82,N101&lt;=$N$83,N101&lt;=$N$84,N101&lt;=$N$85,N101&lt;=$N$86,N101&lt;=$N$87,N101&lt;=$N$88,N101&lt;=$N$89,N101&lt;=$N$90,N101&lt;=$N$91,N101&lt;=$N$92,N101&lt;=$N$93,N101&lt;=$N$94,N101&lt;=$N$95,N101&lt;=$N$96,N101&lt;=$N$97,N101&lt;=$N$98,N101&lt;=$N$99,N101&lt;=$N$100,N101&lt;=$N$101,N101&lt;=$N$102,N101&lt;=$N$103,N101&lt;=$N$104,N101&lt;=$N$105,N101&lt;=$N$106,N101&lt;=$N$107,N101&lt;=$N$108,N101&lt;=$N$109)),CONCATENATE(P101,"&amp;"),""),"")</f>
      </c>
      <c r="N101" s="176" t="e">
        <f>IF((O101-'VIB SPEC SHEET'!$AL$85)&gt;0,O101-'VIB SPEC SHEET'!$AL$85,10^10)</f>
        <v>#VALUE!</v>
      </c>
      <c r="O101" s="231"/>
      <c r="P101" s="232"/>
      <c r="Q101" s="233"/>
      <c r="S101" s="180"/>
      <c r="T101" s="180"/>
      <c r="U101" s="190"/>
      <c r="V101" s="198"/>
    </row>
    <row r="102" spans="1:22" ht="15">
      <c r="A102" s="174">
        <f>IF('VIB SPEC SHEET'!$K$85="NEMA 12",IF(AND(C102&gt;'VIB SPEC SHEET'!$AL$85,AND(B102&lt;=$B$80,B102&lt;=$B$81,B102&lt;=$B$82,B102&lt;=$B$83,B102&lt;=$B$84,B102&lt;=$B$85,B102&lt;=$B$86,B102&lt;=$B$87,B102&lt;=$B$88,B102&lt;=$B$89,B102&lt;=$B$90,B102&lt;=$B$91,B102&lt;=$B$92,B102&lt;=$B$93,B102&lt;=$B$94,B102&lt;=$B$95,B102&lt;=$B$96,B102&lt;=$B$97,B102&lt;=$B$98,B102&lt;=$B$99,B102&lt;=$B$100,B102&lt;=$B$101,B102&lt;=$B$102,B102&lt;=$B$103,B102&lt;=$B$104,B102&lt;=$B$105,B102&lt;=$B$106,B102&lt;=$B$107,B102&lt;=$B$108,B102&lt;=$B$109)),CONCATENATE(D102,"&amp;"),""),"")</f>
      </c>
      <c r="B102" s="176" t="e">
        <f>IF((C102-'VIB SPEC SHEET'!$AL$85)&gt;0,C102-'VIB SPEC SHEET'!$AL$85,10^10)</f>
        <v>#VALUE!</v>
      </c>
      <c r="C102" s="231"/>
      <c r="D102" s="232"/>
      <c r="E102" s="233"/>
      <c r="F102" s="197"/>
      <c r="G102" s="174">
        <f>IF('VIB SPEC SHEET'!$K$85="NEMA 4",IF(AND(I102&gt;'VIB SPEC SHEET'!$AL$85,AND(H102&lt;=$H$80,H102&lt;=$H$81,H102&lt;=$H$82,H102&lt;=$H$83,H102&lt;=$H$84,H102&lt;=$H$85,H102&lt;=$H$86,H102&lt;=$H$87,H102&lt;=$H$88,H102&lt;=$H$89,H102&lt;=$H$90,H102&lt;=$H$91,H102&lt;=$H$92,H102&lt;=$H$93,H102&lt;=$H$94,H102&lt;=$H$95,H102&lt;=$H$96,H102&lt;=$H$97,H102&lt;=$H$98,H102&lt;=$H$99,H102&lt;=$H$100,H102&lt;=$H$101,H102&lt;=$H$102,H102&lt;=$H$103,H102&lt;=$H$104,H102&lt;=$H$105,H102&lt;=$H$106,H102&lt;=$H$107,H102&lt;=$H$108,H102&lt;=$H$109)),CONCATENATE(J102,"&amp;"),""),"")</f>
      </c>
      <c r="H102" s="176" t="e">
        <f>IF((I102-'VIB SPEC SHEET'!$AL$85)&gt;0,I102-'VIB SPEC SHEET'!$AL$85,10^10)</f>
        <v>#VALUE!</v>
      </c>
      <c r="I102" s="231"/>
      <c r="J102" s="232"/>
      <c r="K102" s="233"/>
      <c r="L102" s="197"/>
      <c r="M102" s="174">
        <f>IF('VIB SPEC SHEET'!$K$85="NEMA 4X SS",IF(AND(O102&gt;'VIB SPEC SHEET'!$AL$85,AND(N102&lt;=$N$80,N102&lt;=$N$81,N102&lt;=$N$82,N102&lt;=$N$83,N102&lt;=$N$84,N102&lt;=$N$85,N102&lt;=$N$86,N102&lt;=$N$87,N102&lt;=$N$88,N102&lt;=$N$89,N102&lt;=$N$90,N102&lt;=$N$91,N102&lt;=$N$92,N102&lt;=$N$93,N102&lt;=$N$94,N102&lt;=$N$95,N102&lt;=$N$96,N102&lt;=$N$97,N102&lt;=$N$98,N102&lt;=$N$99,N102&lt;=$N$100,N102&lt;=$N$101,N102&lt;=$N$102,N102&lt;=$N$103,N102&lt;=$N$104,N102&lt;=$N$105,N102&lt;=$N$106,N102&lt;=$N$107,N102&lt;=$N$108,N102&lt;=$N$109)),CONCATENATE(P102,"&amp;"),""),"")</f>
      </c>
      <c r="N102" s="176" t="e">
        <f>IF((O102-'VIB SPEC SHEET'!$AL$85)&gt;0,O102-'VIB SPEC SHEET'!$AL$85,10^10)</f>
        <v>#VALUE!</v>
      </c>
      <c r="O102" s="231"/>
      <c r="P102" s="232"/>
      <c r="Q102" s="233"/>
      <c r="S102" s="180"/>
      <c r="T102" s="180"/>
      <c r="U102" s="190"/>
      <c r="V102" s="198"/>
    </row>
    <row r="103" spans="1:22" ht="15">
      <c r="A103" s="174">
        <f>IF('VIB SPEC SHEET'!$K$85="NEMA 12",IF(AND(C103&gt;'VIB SPEC SHEET'!$AL$85,AND(B103&lt;=$B$80,B103&lt;=$B$81,B103&lt;=$B$82,B103&lt;=$B$83,B103&lt;=$B$84,B103&lt;=$B$85,B103&lt;=$B$86,B103&lt;=$B$87,B103&lt;=$B$88,B103&lt;=$B$89,B103&lt;=$B$90,B103&lt;=$B$91,B103&lt;=$B$92,B103&lt;=$B$93,B103&lt;=$B$94,B103&lt;=$B$95,B103&lt;=$B$96,B103&lt;=$B$97,B103&lt;=$B$98,B103&lt;=$B$99,B103&lt;=$B$100,B103&lt;=$B$101,B103&lt;=$B$102,B103&lt;=$B$103,B103&lt;=$B$104,B103&lt;=$B$105,B103&lt;=$B$106,B103&lt;=$B$107,B103&lt;=$B$108,B103&lt;=$B$109)),CONCATENATE(D103,"&amp;"),""),"")</f>
      </c>
      <c r="B103" s="176" t="e">
        <f>IF((C103-'VIB SPEC SHEET'!$AL$85)&gt;0,C103-'VIB SPEC SHEET'!$AL$85,10^10)</f>
        <v>#VALUE!</v>
      </c>
      <c r="C103" s="231"/>
      <c r="D103" s="232"/>
      <c r="E103" s="233"/>
      <c r="F103" s="197"/>
      <c r="G103" s="174">
        <f>IF('VIB SPEC SHEET'!$K$85="NEMA 4",IF(AND(I103&gt;'VIB SPEC SHEET'!$AL$85,AND(H103&lt;=$H$80,H103&lt;=$H$81,H103&lt;=$H$82,H103&lt;=$H$83,H103&lt;=$H$84,H103&lt;=$H$85,H103&lt;=$H$86,H103&lt;=$H$87,H103&lt;=$H$88,H103&lt;=$H$89,H103&lt;=$H$90,H103&lt;=$H$91,H103&lt;=$H$92,H103&lt;=$H$93,H103&lt;=$H$94,H103&lt;=$H$95,H103&lt;=$H$96,H103&lt;=$H$97,H103&lt;=$H$98,H103&lt;=$H$99,H103&lt;=$H$100,H103&lt;=$H$101,H103&lt;=$H$102,H103&lt;=$H$103,H103&lt;=$H$104,H103&lt;=$H$105,H103&lt;=$H$106,H103&lt;=$H$107,H103&lt;=$H$108,H103&lt;=$H$109)),CONCATENATE(J103,"&amp;"),""),"")</f>
      </c>
      <c r="H103" s="176" t="e">
        <f>IF((I103-'VIB SPEC SHEET'!$AL$85)&gt;0,I103-'VIB SPEC SHEET'!$AL$85,10^10)</f>
        <v>#VALUE!</v>
      </c>
      <c r="I103" s="231"/>
      <c r="J103" s="232"/>
      <c r="K103" s="233"/>
      <c r="L103" s="197"/>
      <c r="M103" s="174">
        <f>IF('VIB SPEC SHEET'!$K$85="NEMA 4X SS",IF(AND(O103&gt;'VIB SPEC SHEET'!$AL$85,AND(N103&lt;=$N$80,N103&lt;=$N$81,N103&lt;=$N$82,N103&lt;=$N$83,N103&lt;=$N$84,N103&lt;=$N$85,N103&lt;=$N$86,N103&lt;=$N$87,N103&lt;=$N$88,N103&lt;=$N$89,N103&lt;=$N$90,N103&lt;=$N$91,N103&lt;=$N$92,N103&lt;=$N$93,N103&lt;=$N$94,N103&lt;=$N$95,N103&lt;=$N$96,N103&lt;=$N$97,N103&lt;=$N$98,N103&lt;=$N$99,N103&lt;=$N$100,N103&lt;=$N$101,N103&lt;=$N$102,N103&lt;=$N$103,N103&lt;=$N$104,N103&lt;=$N$105,N103&lt;=$N$106,N103&lt;=$N$107,N103&lt;=$N$108,N103&lt;=$N$109)),CONCATENATE(P103,"&amp;"),""),"")</f>
      </c>
      <c r="N103" s="176" t="e">
        <f>IF((O103-'VIB SPEC SHEET'!$AL$85)&gt;0,O103-'VIB SPEC SHEET'!$AL$85,10^10)</f>
        <v>#VALUE!</v>
      </c>
      <c r="O103" s="231"/>
      <c r="P103" s="232"/>
      <c r="Q103" s="233"/>
      <c r="S103" s="180"/>
      <c r="T103" s="180"/>
      <c r="U103" s="190"/>
      <c r="V103" s="198"/>
    </row>
    <row r="104" spans="1:22" ht="15">
      <c r="A104" s="174">
        <f>IF('VIB SPEC SHEET'!$K$85="NEMA 12",IF(AND(C104&gt;'VIB SPEC SHEET'!$AL$85,AND(B104&lt;=$B$80,B104&lt;=$B$81,B104&lt;=$B$82,B104&lt;=$B$83,B104&lt;=$B$84,B104&lt;=$B$85,B104&lt;=$B$86,B104&lt;=$B$87,B104&lt;=$B$88,B104&lt;=$B$89,B104&lt;=$B$90,B104&lt;=$B$91,B104&lt;=$B$92,B104&lt;=$B$93,B104&lt;=$B$94,B104&lt;=$B$95,B104&lt;=$B$96,B104&lt;=$B$97,B104&lt;=$B$98,B104&lt;=$B$99,B104&lt;=$B$100,B104&lt;=$B$101,B104&lt;=$B$102,B104&lt;=$B$103,B104&lt;=$B$104,B104&lt;=$B$105,B104&lt;=$B$106,B104&lt;=$B$107,B104&lt;=$B$108,B104&lt;=$B$109)),CONCATENATE(D104,"&amp;"),""),"")</f>
      </c>
      <c r="B104" s="176" t="e">
        <f>IF((C104-'VIB SPEC SHEET'!$AL$85)&gt;0,C104-'VIB SPEC SHEET'!$AL$85,10^10)</f>
        <v>#VALUE!</v>
      </c>
      <c r="C104" s="231"/>
      <c r="D104" s="232"/>
      <c r="E104" s="233"/>
      <c r="F104" s="197"/>
      <c r="G104" s="174">
        <f>IF('VIB SPEC SHEET'!$K$85="NEMA 4",IF(AND(I104&gt;'VIB SPEC SHEET'!$AL$85,AND(H104&lt;=$H$80,H104&lt;=$H$81,H104&lt;=$H$82,H104&lt;=$H$83,H104&lt;=$H$84,H104&lt;=$H$85,H104&lt;=$H$86,H104&lt;=$H$87,H104&lt;=$H$88,H104&lt;=$H$89,H104&lt;=$H$90,H104&lt;=$H$91,H104&lt;=$H$92,H104&lt;=$H$93,H104&lt;=$H$94,H104&lt;=$H$95,H104&lt;=$H$96,H104&lt;=$H$97,H104&lt;=$H$98,H104&lt;=$H$99,H104&lt;=$H$100,H104&lt;=$H$101,H104&lt;=$H$102,H104&lt;=$H$103,H104&lt;=$H$104,H104&lt;=$H$105,H104&lt;=$H$106,H104&lt;=$H$107,H104&lt;=$H$108,H104&lt;=$H$109)),CONCATENATE(J104,"&amp;"),""),"")</f>
      </c>
      <c r="H104" s="176" t="e">
        <f>IF((I104-'VIB SPEC SHEET'!$AL$85)&gt;0,I104-'VIB SPEC SHEET'!$AL$85,10^10)</f>
        <v>#VALUE!</v>
      </c>
      <c r="I104" s="231"/>
      <c r="J104" s="232"/>
      <c r="K104" s="233"/>
      <c r="L104" s="197"/>
      <c r="M104" s="174">
        <f>IF('VIB SPEC SHEET'!$K$85="NEMA 4X SS",IF(AND(O104&gt;'VIB SPEC SHEET'!$AL$85,AND(N104&lt;=$N$80,N104&lt;=$N$81,N104&lt;=$N$82,N104&lt;=$N$83,N104&lt;=$N$84,N104&lt;=$N$85,N104&lt;=$N$86,N104&lt;=$N$87,N104&lt;=$N$88,N104&lt;=$N$89,N104&lt;=$N$90,N104&lt;=$N$91,N104&lt;=$N$92,N104&lt;=$N$93,N104&lt;=$N$94,N104&lt;=$N$95,N104&lt;=$N$96,N104&lt;=$N$97,N104&lt;=$N$98,N104&lt;=$N$99,N104&lt;=$N$100,N104&lt;=$N$101,N104&lt;=$N$102,N104&lt;=$N$103,N104&lt;=$N$104,N104&lt;=$N$105,N104&lt;=$N$106,N104&lt;=$N$107,N104&lt;=$N$108,N104&lt;=$N$109)),CONCATENATE(P104,"&amp;"),""),"")</f>
      </c>
      <c r="N104" s="176" t="e">
        <f>IF((O104-'VIB SPEC SHEET'!$AL$85)&gt;0,O104-'VIB SPEC SHEET'!$AL$85,10^10)</f>
        <v>#VALUE!</v>
      </c>
      <c r="O104" s="231"/>
      <c r="P104" s="232"/>
      <c r="Q104" s="233"/>
      <c r="S104" s="180"/>
      <c r="T104" s="180"/>
      <c r="U104" s="190"/>
      <c r="V104" s="198"/>
    </row>
    <row r="105" spans="1:22" ht="15">
      <c r="A105" s="174">
        <f>IF('VIB SPEC SHEET'!$K$85="NEMA 12",IF(AND(C105&gt;'VIB SPEC SHEET'!$AL$85,AND(B105&lt;=$B$80,B105&lt;=$B$81,B105&lt;=$B$82,B105&lt;=$B$83,B105&lt;=$B$84,B105&lt;=$B$85,B105&lt;=$B$86,B105&lt;=$B$87,B105&lt;=$B$88,B105&lt;=$B$89,B105&lt;=$B$90,B105&lt;=$B$91,B105&lt;=$B$92,B105&lt;=$B$93,B105&lt;=$B$94,B105&lt;=$B$95,B105&lt;=$B$96,B105&lt;=$B$97,B105&lt;=$B$98,B105&lt;=$B$99,B105&lt;=$B$100,B105&lt;=$B$101,B105&lt;=$B$102,B105&lt;=$B$103,B105&lt;=$B$104,B105&lt;=$B$105,B105&lt;=$B$106,B105&lt;=$B$107,B105&lt;=$B$108,B105&lt;=$B$109)),CONCATENATE(D105,"&amp;"),""),"")</f>
      </c>
      <c r="B105" s="176" t="e">
        <f>IF((C105-'VIB SPEC SHEET'!$AL$85)&gt;0,C105-'VIB SPEC SHEET'!$AL$85,10^10)</f>
        <v>#VALUE!</v>
      </c>
      <c r="C105" s="231"/>
      <c r="D105" s="232"/>
      <c r="E105" s="233"/>
      <c r="F105" s="197"/>
      <c r="G105" s="174">
        <f>IF('VIB SPEC SHEET'!$K$85="NEMA 4",IF(AND(I105&gt;'VIB SPEC SHEET'!$AL$85,AND(H105&lt;=$H$80,H105&lt;=$H$81,H105&lt;=$H$82,H105&lt;=$H$83,H105&lt;=$H$84,H105&lt;=$H$85,H105&lt;=$H$86,H105&lt;=$H$87,H105&lt;=$H$88,H105&lt;=$H$89,H105&lt;=$H$90,H105&lt;=$H$91,H105&lt;=$H$92,H105&lt;=$H$93,H105&lt;=$H$94,H105&lt;=$H$95,H105&lt;=$H$96,H105&lt;=$H$97,H105&lt;=$H$98,H105&lt;=$H$99,H105&lt;=$H$100,H105&lt;=$H$101,H105&lt;=$H$102,H105&lt;=$H$103,H105&lt;=$H$104,H105&lt;=$H$105,H105&lt;=$H$106,H105&lt;=$H$107,H105&lt;=$H$108,H105&lt;=$H$109)),CONCATENATE(J105,"&amp;"),""),"")</f>
      </c>
      <c r="H105" s="176" t="e">
        <f>IF((I105-'VIB SPEC SHEET'!$AL$85)&gt;0,I105-'VIB SPEC SHEET'!$AL$85,10^10)</f>
        <v>#VALUE!</v>
      </c>
      <c r="I105" s="231"/>
      <c r="J105" s="232"/>
      <c r="K105" s="233"/>
      <c r="L105" s="197"/>
      <c r="M105" s="174">
        <f>IF('VIB SPEC SHEET'!$K$85="NEMA 4X SS",IF(AND(O105&gt;'VIB SPEC SHEET'!$AL$85,AND(N105&lt;=$N$80,N105&lt;=$N$81,N105&lt;=$N$82,N105&lt;=$N$83,N105&lt;=$N$84,N105&lt;=$N$85,N105&lt;=$N$86,N105&lt;=$N$87,N105&lt;=$N$88,N105&lt;=$N$89,N105&lt;=$N$90,N105&lt;=$N$91,N105&lt;=$N$92,N105&lt;=$N$93,N105&lt;=$N$94,N105&lt;=$N$95,N105&lt;=$N$96,N105&lt;=$N$97,N105&lt;=$N$98,N105&lt;=$N$99,N105&lt;=$N$100,N105&lt;=$N$101,N105&lt;=$N$102,N105&lt;=$N$103,N105&lt;=$N$104,N105&lt;=$N$105,N105&lt;=$N$106,N105&lt;=$N$107,N105&lt;=$N$108,N105&lt;=$N$109)),CONCATENATE(P105,"&amp;"),""),"")</f>
      </c>
      <c r="N105" s="176" t="e">
        <f>IF((O105-'VIB SPEC SHEET'!$AL$85)&gt;0,O105-'VIB SPEC SHEET'!$AL$85,10^10)</f>
        <v>#VALUE!</v>
      </c>
      <c r="O105" s="231"/>
      <c r="P105" s="232"/>
      <c r="Q105" s="233"/>
      <c r="S105" s="180"/>
      <c r="T105" s="180"/>
      <c r="U105" s="190"/>
      <c r="V105" s="198"/>
    </row>
    <row r="106" spans="1:22" ht="15">
      <c r="A106" s="174">
        <f>IF('VIB SPEC SHEET'!$K$85="NEMA 12",IF(AND(C106&gt;'VIB SPEC SHEET'!$AL$85,AND(B106&lt;=$B$80,B106&lt;=$B$81,B106&lt;=$B$82,B106&lt;=$B$83,B106&lt;=$B$84,B106&lt;=$B$85,B106&lt;=$B$86,B106&lt;=$B$87,B106&lt;=$B$88,B106&lt;=$B$89,B106&lt;=$B$90,B106&lt;=$B$91,B106&lt;=$B$92,B106&lt;=$B$93,B106&lt;=$B$94,B106&lt;=$B$95,B106&lt;=$B$96,B106&lt;=$B$97,B106&lt;=$B$98,B106&lt;=$B$99,B106&lt;=$B$100,B106&lt;=$B$101,B106&lt;=$B$102,B106&lt;=$B$103,B106&lt;=$B$104,B106&lt;=$B$105,B106&lt;=$B$106,B106&lt;=$B$107,B106&lt;=$B$108,B106&lt;=$B$109)),CONCATENATE(D106,"&amp;"),""),"")</f>
      </c>
      <c r="B106" s="176" t="e">
        <f>IF((C106-'VIB SPEC SHEET'!$AL$85)&gt;0,C106-'VIB SPEC SHEET'!$AL$85,10^10)</f>
        <v>#VALUE!</v>
      </c>
      <c r="C106" s="231"/>
      <c r="D106" s="232"/>
      <c r="E106" s="233"/>
      <c r="F106" s="197"/>
      <c r="G106" s="174">
        <f>IF('VIB SPEC SHEET'!$K$85="NEMA 4",IF(AND(I106&gt;'VIB SPEC SHEET'!$AL$85,AND(H106&lt;=$H$80,H106&lt;=$H$81,H106&lt;=$H$82,H106&lt;=$H$83,H106&lt;=$H$84,H106&lt;=$H$85,H106&lt;=$H$86,H106&lt;=$H$87,H106&lt;=$H$88,H106&lt;=$H$89,H106&lt;=$H$90,H106&lt;=$H$91,H106&lt;=$H$92,H106&lt;=$H$93,H106&lt;=$H$94,H106&lt;=$H$95,H106&lt;=$H$96,H106&lt;=$H$97,H106&lt;=$H$98,H106&lt;=$H$99,H106&lt;=$H$100,H106&lt;=$H$101,H106&lt;=$H$102,H106&lt;=$H$103,H106&lt;=$H$104,H106&lt;=$H$105,H106&lt;=$H$106,H106&lt;=$H$107,H106&lt;=$H$108,H106&lt;=$H$109)),CONCATENATE(J106,"&amp;"),""),"")</f>
      </c>
      <c r="H106" s="176" t="e">
        <f>IF((I106-'VIB SPEC SHEET'!$AL$85)&gt;0,I106-'VIB SPEC SHEET'!$AL$85,10^10)</f>
        <v>#VALUE!</v>
      </c>
      <c r="I106" s="231"/>
      <c r="J106" s="232"/>
      <c r="K106" s="233"/>
      <c r="L106" s="197"/>
      <c r="M106" s="174">
        <f>IF('VIB SPEC SHEET'!$K$85="NEMA 4X SS",IF(AND(O106&gt;'VIB SPEC SHEET'!$AL$85,AND(N106&lt;=$N$80,N106&lt;=$N$81,N106&lt;=$N$82,N106&lt;=$N$83,N106&lt;=$N$84,N106&lt;=$N$85,N106&lt;=$N$86,N106&lt;=$N$87,N106&lt;=$N$88,N106&lt;=$N$89,N106&lt;=$N$90,N106&lt;=$N$91,N106&lt;=$N$92,N106&lt;=$N$93,N106&lt;=$N$94,N106&lt;=$N$95,N106&lt;=$N$96,N106&lt;=$N$97,N106&lt;=$N$98,N106&lt;=$N$99,N106&lt;=$N$100,N106&lt;=$N$101,N106&lt;=$N$102,N106&lt;=$N$103,N106&lt;=$N$104,N106&lt;=$N$105,N106&lt;=$N$106,N106&lt;=$N$107,N106&lt;=$N$108,N106&lt;=$N$109)),CONCATENATE(P106,"&amp;"),""),"")</f>
      </c>
      <c r="N106" s="176" t="e">
        <f>IF((O106-'VIB SPEC SHEET'!$AL$85)&gt;0,O106-'VIB SPEC SHEET'!$AL$85,10^10)</f>
        <v>#VALUE!</v>
      </c>
      <c r="O106" s="231"/>
      <c r="P106" s="232"/>
      <c r="Q106" s="233"/>
      <c r="S106" s="180"/>
      <c r="T106" s="180"/>
      <c r="U106" s="190"/>
      <c r="V106" s="198"/>
    </row>
    <row r="107" spans="1:22" ht="15">
      <c r="A107" s="174">
        <f>IF('VIB SPEC SHEET'!$K$85="NEMA 12",IF(AND(C107&gt;'VIB SPEC SHEET'!$AL$85,AND(B107&lt;=$B$80,B107&lt;=$B$81,B107&lt;=$B$82,B107&lt;=$B$83,B107&lt;=$B$84,B107&lt;=$B$85,B107&lt;=$B$86,B107&lt;=$B$87,B107&lt;=$B$88,B107&lt;=$B$89,B107&lt;=$B$90,B107&lt;=$B$91,B107&lt;=$B$92,B107&lt;=$B$93,B107&lt;=$B$94,B107&lt;=$B$95,B107&lt;=$B$96,B107&lt;=$B$97,B107&lt;=$B$98,B107&lt;=$B$99,B107&lt;=$B$100,B107&lt;=$B$101,B107&lt;=$B$102,B107&lt;=$B$103,B107&lt;=$B$104,B107&lt;=$B$105,B107&lt;=$B$106,B107&lt;=$B$107,B107&lt;=$B$108,B107&lt;=$B$109)),CONCATENATE(D107,"&amp;"),""),"")</f>
      </c>
      <c r="B107" s="176" t="e">
        <f>IF((C107-'VIB SPEC SHEET'!$AL$85)&gt;0,C107-'VIB SPEC SHEET'!$AL$85,10^10)</f>
        <v>#VALUE!</v>
      </c>
      <c r="C107" s="231"/>
      <c r="D107" s="232"/>
      <c r="E107" s="233"/>
      <c r="F107" s="197"/>
      <c r="G107" s="174">
        <f>IF('VIB SPEC SHEET'!$K$85="NEMA 4",IF(AND(I107&gt;'VIB SPEC SHEET'!$AL$85,AND(H107&lt;=$H$80,H107&lt;=$H$81,H107&lt;=$H$82,H107&lt;=$H$83,H107&lt;=$H$84,H107&lt;=$H$85,H107&lt;=$H$86,H107&lt;=$H$87,H107&lt;=$H$88,H107&lt;=$H$89,H107&lt;=$H$90,H107&lt;=$H$91,H107&lt;=$H$92,H107&lt;=$H$93,H107&lt;=$H$94,H107&lt;=$H$95,H107&lt;=$H$96,H107&lt;=$H$97,H107&lt;=$H$98,H107&lt;=$H$99,H107&lt;=$H$100,H107&lt;=$H$101,H107&lt;=$H$102,H107&lt;=$H$103,H107&lt;=$H$104,H107&lt;=$H$105,H107&lt;=$H$106,H107&lt;=$H$107,H107&lt;=$H$108,H107&lt;=$H$109)),CONCATENATE(J107,"&amp;"),""),"")</f>
      </c>
      <c r="H107" s="176" t="e">
        <f>IF((I107-'VIB SPEC SHEET'!$AL$85)&gt;0,I107-'VIB SPEC SHEET'!$AL$85,10^10)</f>
        <v>#VALUE!</v>
      </c>
      <c r="I107" s="231"/>
      <c r="J107" s="232"/>
      <c r="K107" s="233"/>
      <c r="L107" s="197"/>
      <c r="M107" s="174">
        <f>IF('VIB SPEC SHEET'!$K$85="NEMA 4X SS",IF(AND(O107&gt;'VIB SPEC SHEET'!$AL$85,AND(N107&lt;=$N$80,N107&lt;=$N$81,N107&lt;=$N$82,N107&lt;=$N$83,N107&lt;=$N$84,N107&lt;=$N$85,N107&lt;=$N$86,N107&lt;=$N$87,N107&lt;=$N$88,N107&lt;=$N$89,N107&lt;=$N$90,N107&lt;=$N$91,N107&lt;=$N$92,N107&lt;=$N$93,N107&lt;=$N$94,N107&lt;=$N$95,N107&lt;=$N$96,N107&lt;=$N$97,N107&lt;=$N$98,N107&lt;=$N$99,N107&lt;=$N$100,N107&lt;=$N$101,N107&lt;=$N$102,N107&lt;=$N$103,N107&lt;=$N$104,N107&lt;=$N$105,N107&lt;=$N$106,N107&lt;=$N$107,N107&lt;=$N$108,N107&lt;=$N$109)),CONCATENATE(P107,"&amp;"),""),"")</f>
      </c>
      <c r="N107" s="176" t="e">
        <f>IF((O107-'VIB SPEC SHEET'!$AL$85)&gt;0,O107-'VIB SPEC SHEET'!$AL$85,10^10)</f>
        <v>#VALUE!</v>
      </c>
      <c r="O107" s="231"/>
      <c r="P107" s="232"/>
      <c r="Q107" s="233"/>
      <c r="S107" s="180"/>
      <c r="T107" s="180"/>
      <c r="U107" s="190"/>
      <c r="V107" s="198"/>
    </row>
    <row r="108" spans="1:22" ht="15">
      <c r="A108" s="174">
        <f>IF('VIB SPEC SHEET'!$K$85="NEMA 12",IF(AND(C108&gt;'VIB SPEC SHEET'!$AL$85,AND(B108&lt;=$B$80,B108&lt;=$B$81,B108&lt;=$B$82,B108&lt;=$B$83,B108&lt;=$B$84,B108&lt;=$B$85,B108&lt;=$B$86,B108&lt;=$B$87,B108&lt;=$B$88,B108&lt;=$B$89,B108&lt;=$B$90,B108&lt;=$B$91,B108&lt;=$B$92,B108&lt;=$B$93,B108&lt;=$B$94,B108&lt;=$B$95,B108&lt;=$B$96,B108&lt;=$B$97,B108&lt;=$B$98,B108&lt;=$B$99,B108&lt;=$B$100,B108&lt;=$B$101,B108&lt;=$B$102,B108&lt;=$B$103,B108&lt;=$B$104,B108&lt;=$B$105,B108&lt;=$B$106,B108&lt;=$B$107,B108&lt;=$B$108,B108&lt;=$B$109)),CONCATENATE(D108,"&amp;"),""),"")</f>
      </c>
      <c r="B108" s="176" t="e">
        <f>IF((C108-'VIB SPEC SHEET'!$AL$85)&gt;0,C108-'VIB SPEC SHEET'!$AL$85,10^10)</f>
        <v>#VALUE!</v>
      </c>
      <c r="C108" s="231"/>
      <c r="D108" s="232"/>
      <c r="E108" s="233"/>
      <c r="F108" s="197"/>
      <c r="G108" s="174">
        <f>IF('VIB SPEC SHEET'!$K$85="NEMA 4",IF(AND(I108&gt;'VIB SPEC SHEET'!$AL$85,AND(H108&lt;=$H$80,H108&lt;=$H$81,H108&lt;=$H$82,H108&lt;=$H$83,H108&lt;=$H$84,H108&lt;=$H$85,H108&lt;=$H$86,H108&lt;=$H$87,H108&lt;=$H$88,H108&lt;=$H$89,H108&lt;=$H$90,H108&lt;=$H$91,H108&lt;=$H$92,H108&lt;=$H$93,H108&lt;=$H$94,H108&lt;=$H$95,H108&lt;=$H$96,H108&lt;=$H$97,H108&lt;=$H$98,H108&lt;=$H$99,H108&lt;=$H$100,H108&lt;=$H$101,H108&lt;=$H$102,H108&lt;=$H$103,H108&lt;=$H$104,H108&lt;=$H$105,H108&lt;=$H$106,H108&lt;=$H$107,H108&lt;=$H$108,H108&lt;=$H$109)),CONCATENATE(J108,"&amp;"),""),"")</f>
      </c>
      <c r="H108" s="176" t="e">
        <f>IF((I108-'VIB SPEC SHEET'!$AL$85)&gt;0,I108-'VIB SPEC SHEET'!$AL$85,10^10)</f>
        <v>#VALUE!</v>
      </c>
      <c r="I108" s="231"/>
      <c r="J108" s="232"/>
      <c r="K108" s="233"/>
      <c r="L108" s="197"/>
      <c r="M108" s="174">
        <f>IF('VIB SPEC SHEET'!$K$85="NEMA 4X SS",IF(AND(O108&gt;'VIB SPEC SHEET'!$AL$85,AND(N108&lt;=$N$80,N108&lt;=$N$81,N108&lt;=$N$82,N108&lt;=$N$83,N108&lt;=$N$84,N108&lt;=$N$85,N108&lt;=$N$86,N108&lt;=$N$87,N108&lt;=$N$88,N108&lt;=$N$89,N108&lt;=$N$90,N108&lt;=$N$91,N108&lt;=$N$92,N108&lt;=$N$93,N108&lt;=$N$94,N108&lt;=$N$95,N108&lt;=$N$96,N108&lt;=$N$97,N108&lt;=$N$98,N108&lt;=$N$99,N108&lt;=$N$100,N108&lt;=$N$101,N108&lt;=$N$102,N108&lt;=$N$103,N108&lt;=$N$104,N108&lt;=$N$105,N108&lt;=$N$106,N108&lt;=$N$107,N108&lt;=$N$108,N108&lt;=$N$109)),CONCATENATE(P108,"&amp;"),""),"")</f>
      </c>
      <c r="N108" s="176" t="e">
        <f>IF((O108-'VIB SPEC SHEET'!$AL$85)&gt;0,O108-'VIB SPEC SHEET'!$AL$85,10^10)</f>
        <v>#VALUE!</v>
      </c>
      <c r="O108" s="231"/>
      <c r="P108" s="232"/>
      <c r="Q108" s="233"/>
      <c r="S108" s="180"/>
      <c r="T108" s="180"/>
      <c r="U108" s="190"/>
      <c r="V108" s="198"/>
    </row>
    <row r="109" spans="1:22" ht="15.75" thickBot="1">
      <c r="A109" s="174">
        <f>IF('VIB SPEC SHEET'!$K$85="NEMA 12",IF(AND(C109&gt;'VIB SPEC SHEET'!$AL$85,AND(B109&lt;=$B$80,B109&lt;=$B$81,B109&lt;=$B$82,B109&lt;=$B$83,B109&lt;=$B$84,B109&lt;=$B$85,B109&lt;=$B$86,B109&lt;=$B$87,B109&lt;=$B$88,B109&lt;=$B$89,B109&lt;=$B$90,B109&lt;=$B$91,B109&lt;=$B$92,B109&lt;=$B$93,B109&lt;=$B$94,B109&lt;=$B$95,B109&lt;=$B$96,B109&lt;=$B$97,B109&lt;=$B$98,B109&lt;=$B$99,B109&lt;=$B$100,B109&lt;=$B$101,B109&lt;=$B$102,B109&lt;=$B$103,B109&lt;=$B$104,B109&lt;=$B$105,B109&lt;=$B$106,B109&lt;=$B$107,B109&lt;=$B$108,B109&lt;=$B$109)),CONCATENATE(D109,"&amp;"),""),"")</f>
      </c>
      <c r="B109" s="176" t="e">
        <f>IF((C109-'VIB SPEC SHEET'!$AL$85)&gt;0,C109-'VIB SPEC SHEET'!$AL$85,10^10)</f>
        <v>#VALUE!</v>
      </c>
      <c r="C109" s="234"/>
      <c r="D109" s="235"/>
      <c r="E109" s="236"/>
      <c r="F109" s="197"/>
      <c r="G109" s="174">
        <f>IF('VIB SPEC SHEET'!$K$85="NEMA 4",IF(AND(I109&gt;'VIB SPEC SHEET'!$AL$85,AND(H109&lt;=$H$80,H109&lt;=$H$81,H109&lt;=$H$82,H109&lt;=$H$83,H109&lt;=$H$84,H109&lt;=$H$85,H109&lt;=$H$86,H109&lt;=$H$87,H109&lt;=$H$88,H109&lt;=$H$89,H109&lt;=$H$90,H109&lt;=$H$91,H109&lt;=$H$92,H109&lt;=$H$93,H109&lt;=$H$94,H109&lt;=$H$95,H109&lt;=$H$96,H109&lt;=$H$97,H109&lt;=$H$98,H109&lt;=$H$99,H109&lt;=$H$100,H109&lt;=$H$101,H109&lt;=$H$102,H109&lt;=$H$103,H109&lt;=$H$104,H109&lt;=$H$105,H109&lt;=$H$106,H109&lt;=$H$107,H109&lt;=$H$108,H109&lt;=$H$109)),CONCATENATE(J109,"&amp;"),""),"")</f>
      </c>
      <c r="H109" s="176" t="e">
        <f>IF((I109-'VIB SPEC SHEET'!$AL$85)&gt;0,I109-'VIB SPEC SHEET'!$AL$85,10^10)</f>
        <v>#VALUE!</v>
      </c>
      <c r="I109" s="234"/>
      <c r="J109" s="235"/>
      <c r="K109" s="236"/>
      <c r="L109" s="197"/>
      <c r="M109" s="174">
        <f>IF('VIB SPEC SHEET'!$K$85="NEMA 4X SS",IF(AND(O109&gt;'VIB SPEC SHEET'!$AL$85,AND(N109&lt;=$N$80,N109&lt;=$N$81,N109&lt;=$N$82,N109&lt;=$N$83,N109&lt;=$N$84,N109&lt;=$N$85,N109&lt;=$N$86,N109&lt;=$N$87,N109&lt;=$N$88,N109&lt;=$N$89,N109&lt;=$N$90,N109&lt;=$N$91,N109&lt;=$N$92,N109&lt;=$N$93,N109&lt;=$N$94,N109&lt;=$N$95,N109&lt;=$N$96,N109&lt;=$N$97,N109&lt;=$N$98,N109&lt;=$N$99,N109&lt;=$N$100,N109&lt;=$N$101,N109&lt;=$N$102,N109&lt;=$N$103,N109&lt;=$N$104,N109&lt;=$N$105,N109&lt;=$N$106,N109&lt;=$N$107,N109&lt;=$N$108,N109&lt;=$N$109)),CONCATENATE(P109,"&amp;"),""),"")</f>
      </c>
      <c r="N109" s="176" t="e">
        <f>IF((O109-'VIB SPEC SHEET'!$AL$85)&gt;0,O109-'VIB SPEC SHEET'!$AL$85,10^10)</f>
        <v>#VALUE!</v>
      </c>
      <c r="O109" s="234"/>
      <c r="P109" s="235"/>
      <c r="Q109" s="236"/>
      <c r="S109" s="180"/>
      <c r="T109" s="180"/>
      <c r="U109" s="190"/>
      <c r="V109" s="198"/>
    </row>
    <row r="110" spans="1:22" ht="15">
      <c r="A110" s="180"/>
      <c r="B110" s="180"/>
      <c r="C110" s="180"/>
      <c r="D110" s="190"/>
      <c r="E110" s="198"/>
      <c r="F110" s="197"/>
      <c r="G110" s="180"/>
      <c r="H110" s="180"/>
      <c r="I110" s="180"/>
      <c r="J110" s="190"/>
      <c r="K110" s="198"/>
      <c r="L110" s="197"/>
      <c r="M110" s="180"/>
      <c r="N110" s="180"/>
      <c r="O110" s="180"/>
      <c r="P110" s="190"/>
      <c r="Q110" s="198"/>
      <c r="S110" s="180"/>
      <c r="T110" s="180"/>
      <c r="U110" s="190"/>
      <c r="V110" s="198"/>
    </row>
    <row r="111" spans="1:22" ht="15">
      <c r="A111" s="180"/>
      <c r="B111" s="180"/>
      <c r="C111" s="180"/>
      <c r="D111" s="190"/>
      <c r="E111" s="198"/>
      <c r="F111" s="197"/>
      <c r="G111" s="180"/>
      <c r="H111" s="180"/>
      <c r="I111" s="180"/>
      <c r="J111" s="190"/>
      <c r="K111" s="198"/>
      <c r="L111" s="197"/>
      <c r="M111" s="180"/>
      <c r="N111" s="180"/>
      <c r="O111" s="180"/>
      <c r="P111" s="190"/>
      <c r="Q111" s="198"/>
      <c r="S111" s="180"/>
      <c r="T111" s="180"/>
      <c r="U111" s="190"/>
      <c r="V111" s="198"/>
    </row>
    <row r="112" spans="1:22" ht="15.75" thickBot="1">
      <c r="A112" s="180"/>
      <c r="B112" s="180"/>
      <c r="C112" s="180"/>
      <c r="D112" s="190"/>
      <c r="E112" s="198"/>
      <c r="F112" s="197"/>
      <c r="G112" s="180"/>
      <c r="H112" s="180"/>
      <c r="I112" s="180"/>
      <c r="J112" s="190"/>
      <c r="K112" s="198"/>
      <c r="L112" s="197"/>
      <c r="M112" s="180"/>
      <c r="N112" s="180"/>
      <c r="O112" s="180"/>
      <c r="P112" s="190"/>
      <c r="Q112" s="198"/>
      <c r="S112" s="180"/>
      <c r="T112" s="180"/>
      <c r="U112" s="190"/>
      <c r="V112" s="198"/>
    </row>
    <row r="113" spans="1:22" ht="16.5" thickBot="1">
      <c r="A113" s="203" t="s">
        <v>215</v>
      </c>
      <c r="B113" s="138"/>
      <c r="F113" s="102"/>
      <c r="G113" s="203" t="s">
        <v>215</v>
      </c>
      <c r="H113" s="138"/>
      <c r="L113" s="197"/>
      <c r="M113" s="203" t="s">
        <v>215</v>
      </c>
      <c r="N113" s="138"/>
      <c r="S113" s="180"/>
      <c r="T113" s="180"/>
      <c r="U113" s="190"/>
      <c r="V113" s="198"/>
    </row>
    <row r="114" spans="1:22" ht="15">
      <c r="A114" s="175">
        <f>IF('VIB SPEC SHEET'!$K$85="NEMA 12",IF(AND(C114&gt;'VIB SPEC SHEET'!$AL$85,AND(B114&lt;=$B$114,B114&lt;=$B$115,B114&lt;=$B$116,B114&lt;=$B$117,B114&lt;=$B$118,B114&lt;=$B$119,B114&lt;=$B$120,B114&lt;=$B$121,B114&lt;=$B$122,B114&lt;=$B$123,B114&lt;=$B$124,B114&lt;=$B$125,B114&lt;=$B$126,B114&lt;=$B$127,B114&lt;=$B$128,B114&lt;=$B$129,B114&lt;=$B$130,B114&lt;=$B$131,B114&lt;=$B$132,B114&lt;=$B$133,B114&lt;=$B$134,B114&lt;=$B$135,B114&lt;=$B$136,B114&lt;=$B$137,B114&lt;=$B$138,B114&lt;=$B$139,B114&lt;=$B$140,B114&lt;=$B$141,B114&lt;=$B$142,B114&lt;=$B$143)),CONCATENATE(D114,"&amp;"),""),"")</f>
      </c>
      <c r="B114" s="176" t="e">
        <f>IF((C114-'VIB SPEC SHEET'!$AL$85)&gt;0,C114-'VIB SPEC SHEET'!$AL$85,10^10)</f>
        <v>#VALUE!</v>
      </c>
      <c r="C114" s="237">
        <v>4</v>
      </c>
      <c r="D114" s="238" t="s">
        <v>189</v>
      </c>
      <c r="E114" s="239">
        <v>132838</v>
      </c>
      <c r="F114" s="197"/>
      <c r="G114" s="175">
        <f>IF('VIB SPEC SHEET'!$K$85="NEMA 4",IF(AND(I114&gt;'VIB SPEC SHEET'!$AL$85,AND(H114&lt;=$H$114,H114&lt;=$H$115,H114&lt;=$H$116,H114&lt;=$H$117,H114&lt;=$H$118,H114&lt;=$H$119,H114&lt;=$H$120,H114&lt;=$H$121,H114&lt;=$H$122,H114&lt;=$H$123,H114&lt;=$H$124,H114&lt;=$H$125,H114&lt;=$H$126,H114&lt;=$H$127,H114&lt;=$H$128,H114&lt;=$H$129,H114&lt;=$H$130,H114&lt;=$H$131,H114&lt;=$H$132,H114&lt;=$H$133,H114&lt;=$H$134,H114&lt;=$H$135,H114&lt;=$H$136,H114&lt;=$H$137,H114&lt;=$H$138,H114&lt;=$H$139,H114&lt;=$H$140,H114&lt;=$H$141,H114&lt;=$H$142,H114&lt;=$H$143)),CONCATENATE(J114,"&amp;"),""),"")</f>
      </c>
      <c r="H114" s="176" t="e">
        <f>IF((I114-'VIB SPEC SHEET'!$AL$85)&gt;0,I114-'VIB SPEC SHEET'!$AL$85,10^10)</f>
        <v>#VALUE!</v>
      </c>
      <c r="I114" s="237"/>
      <c r="J114" s="238"/>
      <c r="K114" s="239"/>
      <c r="L114" s="197"/>
      <c r="M114" s="175">
        <f>IF('VIB SPEC SHEET'!$K$85="NEMA 4X SS",IF(AND(O114&gt;'VIB SPEC SHEET'!$AL$85,AND(N114&lt;=$N$114,N114&lt;=$N$115,N114&lt;=$N$116,N114&lt;=$N$117,N114&lt;=$N$118,N114&lt;=$N$119,N114&lt;=$N$120,N114&lt;=$N$121,N114&lt;=$N$122,N114&lt;=$N$123,N114&lt;=$N$124,N114&lt;=$N$125,N114&lt;=$N$126,N114&lt;=$N$127,N114&lt;=$N$128,N114&lt;=$N$129,N114&lt;=$N$130,N114&lt;=$N$131,N114&lt;=$N$132,N114&lt;=$N$133,N114&lt;=$N$134,N114&lt;=$N$135,N114&lt;=$N$136,N114&lt;=$N$137,N114&lt;=$N$138,N114&lt;=$N$139,N114&lt;=$N$140,N114&lt;=$N$141,N114&lt;=$N$142,N114&lt;=$N$143)),CONCATENATE(P114,"&amp;"),""),"")</f>
      </c>
      <c r="N114" s="176" t="e">
        <f>IF((O114-'VIB SPEC SHEET'!$AL$85)&gt;0,O114-'VIB SPEC SHEET'!$AL$85,10^10)</f>
        <v>#VALUE!</v>
      </c>
      <c r="O114" s="237"/>
      <c r="P114" s="238"/>
      <c r="Q114" s="239"/>
      <c r="S114" s="180"/>
      <c r="T114" s="180"/>
      <c r="U114" s="190"/>
      <c r="V114" s="198"/>
    </row>
    <row r="115" spans="1:22" ht="15">
      <c r="A115" s="174">
        <f>IF('VIB SPEC SHEET'!$K$85="NEMA 12",IF(AND(C115&gt;'VIB SPEC SHEET'!$AL$85,AND(B115&lt;=$B$114,B115&lt;=$B$115,B115&lt;=$B$116,B115&lt;=$B$117,B115&lt;=$B$118,B115&lt;=$B$119,B115&lt;=$B$120,B115&lt;=$B$121,B115&lt;=$B$122,B115&lt;=$B$123,B115&lt;=$B$124,B115&lt;=$B$125,B115&lt;=$B$126,B115&lt;=$B$127,B115&lt;=$B$128,B115&lt;=$B$129,B115&lt;=$B$130,B115&lt;=$B$131,B115&lt;=$B$132,B115&lt;=$B$133,B115&lt;=$B$134,B115&lt;=$B$135,B115&lt;=$B$136,B115&lt;=$B$137,B115&lt;=$B$138,B115&lt;=$B$139,B115&lt;=$B$140,B115&lt;=$B$141,B115&lt;=$B$142,B115&lt;=$B$143)),CONCATENATE(D115,"&amp;"),""),"")</f>
      </c>
      <c r="B115" s="176" t="e">
        <f>IF((C115-'VIB SPEC SHEET'!$AL$85)&gt;0,C115-'VIB SPEC SHEET'!$AL$85,10^10)</f>
        <v>#VALUE!</v>
      </c>
      <c r="C115" s="231">
        <v>4</v>
      </c>
      <c r="D115" s="232" t="s">
        <v>190</v>
      </c>
      <c r="E115" s="233">
        <v>132842</v>
      </c>
      <c r="F115" s="197"/>
      <c r="G115" s="174">
        <f>IF('VIB SPEC SHEET'!$K$85="NEMA 4",IF(AND(I115&gt;'VIB SPEC SHEET'!$AL$85,AND(H115&lt;=$H$114,H115&lt;=$H$115,H115&lt;=$H$116,H115&lt;=$H$117,H115&lt;=$H$118,H115&lt;=$H$119,H115&lt;=$H$120,H115&lt;=$H$121,H115&lt;=$H$122,H115&lt;=$H$123,H115&lt;=$H$124,H115&lt;=$H$125,H115&lt;=$H$126,H115&lt;=$H$127,H115&lt;=$H$128,H115&lt;=$H$129,H115&lt;=$H$130,H115&lt;=$H$131,H115&lt;=$H$132,H115&lt;=$H$133,H115&lt;=$H$134,H115&lt;=$H$135,H115&lt;=$H$136,H115&lt;=$H$137,H115&lt;=$H$138,H115&lt;=$H$139,H115&lt;=$H$140,H115&lt;=$H$141,H115&lt;=$H$142,H115&lt;=$H$143)),CONCATENATE(J115,"&amp;"),""),"")</f>
      </c>
      <c r="H115" s="176" t="e">
        <f>IF((I115-'VIB SPEC SHEET'!$AL$85)&gt;0,I115-'VIB SPEC SHEET'!$AL$85,10^10)</f>
        <v>#VALUE!</v>
      </c>
      <c r="I115" s="231"/>
      <c r="J115" s="232"/>
      <c r="K115" s="233"/>
      <c r="L115" s="197"/>
      <c r="M115" s="174">
        <f>IF('VIB SPEC SHEET'!$K$85="NEMA 4X SS",IF(AND(O115&gt;'VIB SPEC SHEET'!$AL$85,AND(N115&lt;=$N$114,N115&lt;=$N$115,N115&lt;=$N$116,N115&lt;=$N$117,N115&lt;=$N$118,N115&lt;=$N$119,N115&lt;=$N$120,N115&lt;=$N$121,N115&lt;=$N$122,N115&lt;=$N$123,N115&lt;=$N$124,N115&lt;=$N$125,N115&lt;=$N$126,N115&lt;=$N$127,N115&lt;=$N$128,N115&lt;=$N$129,N115&lt;=$N$130,N115&lt;=$N$131,N115&lt;=$N$132,N115&lt;=$N$133,N115&lt;=$N$134,N115&lt;=$N$135,N115&lt;=$N$136,N115&lt;=$N$137,N115&lt;=$N$138,N115&lt;=$N$139,N115&lt;=$N$140,N115&lt;=$N$141,N115&lt;=$N$142,N115&lt;=$N$143)),CONCATENATE(P115,"&amp;"),""),"")</f>
      </c>
      <c r="N115" s="176" t="e">
        <f>IF((O115-'VIB SPEC SHEET'!$AL$85)&gt;0,O115-'VIB SPEC SHEET'!$AL$85,10^10)</f>
        <v>#VALUE!</v>
      </c>
      <c r="O115" s="231"/>
      <c r="P115" s="232"/>
      <c r="Q115" s="233"/>
      <c r="S115" s="180"/>
      <c r="T115" s="180"/>
      <c r="U115" s="190"/>
      <c r="V115" s="198"/>
    </row>
    <row r="116" spans="1:22" ht="15">
      <c r="A116" s="174">
        <f>IF('VIB SPEC SHEET'!$K$85="NEMA 12",IF(AND(C116&gt;'VIB SPEC SHEET'!$AL$85,AND(B116&lt;=$B$114,B116&lt;=$B$115,B116&lt;=$B$116,B116&lt;=$B$117,B116&lt;=$B$118,B116&lt;=$B$119,B116&lt;=$B$120,B116&lt;=$B$121,B116&lt;=$B$122,B116&lt;=$B$123,B116&lt;=$B$124,B116&lt;=$B$125,B116&lt;=$B$126,B116&lt;=$B$127,B116&lt;=$B$128,B116&lt;=$B$129,B116&lt;=$B$130,B116&lt;=$B$131,B116&lt;=$B$132,B116&lt;=$B$133,B116&lt;=$B$134,B116&lt;=$B$135,B116&lt;=$B$136,B116&lt;=$B$137,B116&lt;=$B$138,B116&lt;=$B$139,B116&lt;=$B$140,B116&lt;=$B$141,B116&lt;=$B$142,B116&lt;=$B$143)),CONCATENATE(D116,"&amp;"),""),"")</f>
      </c>
      <c r="B116" s="176" t="e">
        <f>IF((C116-'VIB SPEC SHEET'!$AL$85)&gt;0,C116-'VIB SPEC SHEET'!$AL$85,10^10)</f>
        <v>#VALUE!</v>
      </c>
      <c r="C116" s="231"/>
      <c r="D116" s="232"/>
      <c r="E116" s="233"/>
      <c r="F116" s="197"/>
      <c r="G116" s="174">
        <f>IF('VIB SPEC SHEET'!$K$85="NEMA 4",IF(AND(I116&gt;'VIB SPEC SHEET'!$AL$85,AND(H116&lt;=$H$114,H116&lt;=$H$115,H116&lt;=$H$116,H116&lt;=$H$117,H116&lt;=$H$118,H116&lt;=$H$119,H116&lt;=$H$120,H116&lt;=$H$121,H116&lt;=$H$122,H116&lt;=$H$123,H116&lt;=$H$124,H116&lt;=$H$125,H116&lt;=$H$126,H116&lt;=$H$127,H116&lt;=$H$128,H116&lt;=$H$129,H116&lt;=$H$130,H116&lt;=$H$131,H116&lt;=$H$132,H116&lt;=$H$133,H116&lt;=$H$134,H116&lt;=$H$135,H116&lt;=$H$136,H116&lt;=$H$137,H116&lt;=$H$138,H116&lt;=$H$139,H116&lt;=$H$140,H116&lt;=$H$141,H116&lt;=$H$142,H116&lt;=$H$143)),CONCATENATE(J116,"&amp;"),""),"")</f>
      </c>
      <c r="H116" s="176" t="e">
        <f>IF((I116-'VIB SPEC SHEET'!$AL$85)&gt;0,I116-'VIB SPEC SHEET'!$AL$85,10^10)</f>
        <v>#VALUE!</v>
      </c>
      <c r="I116" s="231"/>
      <c r="J116" s="232"/>
      <c r="K116" s="233"/>
      <c r="L116" s="197"/>
      <c r="M116" s="174">
        <f>IF('VIB SPEC SHEET'!$K$85="NEMA 4X SS",IF(AND(O116&gt;'VIB SPEC SHEET'!$AL$85,AND(N116&lt;=$N$114,N116&lt;=$N$115,N116&lt;=$N$116,N116&lt;=$N$117,N116&lt;=$N$118,N116&lt;=$N$119,N116&lt;=$N$120,N116&lt;=$N$121,N116&lt;=$N$122,N116&lt;=$N$123,N116&lt;=$N$124,N116&lt;=$N$125,N116&lt;=$N$126,N116&lt;=$N$127,N116&lt;=$N$128,N116&lt;=$N$129,N116&lt;=$N$130,N116&lt;=$N$131,N116&lt;=$N$132,N116&lt;=$N$133,N116&lt;=$N$134,N116&lt;=$N$135,N116&lt;=$N$136,N116&lt;=$N$137,N116&lt;=$N$138,N116&lt;=$N$139,N116&lt;=$N$140,N116&lt;=$N$141,N116&lt;=$N$142,N116&lt;=$N$143)),CONCATENATE(P116,"&amp;"),""),"")</f>
      </c>
      <c r="N116" s="176" t="e">
        <f>IF((O116-'VIB SPEC SHEET'!$AL$85)&gt;0,O116-'VIB SPEC SHEET'!$AL$85,10^10)</f>
        <v>#VALUE!</v>
      </c>
      <c r="O116" s="231"/>
      <c r="P116" s="232"/>
      <c r="Q116" s="233"/>
      <c r="S116" s="180"/>
      <c r="T116" s="180"/>
      <c r="U116" s="190"/>
      <c r="V116" s="198"/>
    </row>
    <row r="117" spans="1:22" ht="15">
      <c r="A117" s="174">
        <f>IF('VIB SPEC SHEET'!$K$85="NEMA 12",IF(AND(C117&gt;'VIB SPEC SHEET'!$AL$85,AND(B117&lt;=$B$114,B117&lt;=$B$115,B117&lt;=$B$116,B117&lt;=$B$117,B117&lt;=$B$118,B117&lt;=$B$119,B117&lt;=$B$120,B117&lt;=$B$121,B117&lt;=$B$122,B117&lt;=$B$123,B117&lt;=$B$124,B117&lt;=$B$125,B117&lt;=$B$126,B117&lt;=$B$127,B117&lt;=$B$128,B117&lt;=$B$129,B117&lt;=$B$130,B117&lt;=$B$131,B117&lt;=$B$132,B117&lt;=$B$133,B117&lt;=$B$134,B117&lt;=$B$135,B117&lt;=$B$136,B117&lt;=$B$137,B117&lt;=$B$138,B117&lt;=$B$139,B117&lt;=$B$140,B117&lt;=$B$141,B117&lt;=$B$142,B117&lt;=$B$143)),CONCATENATE(D117,"&amp;"),""),"")</f>
      </c>
      <c r="B117" s="176" t="e">
        <f>IF((C117-'VIB SPEC SHEET'!$AL$85)&gt;0,C117-'VIB SPEC SHEET'!$AL$85,10^10)</f>
        <v>#VALUE!</v>
      </c>
      <c r="C117" s="231"/>
      <c r="D117" s="232"/>
      <c r="E117" s="233"/>
      <c r="G117" s="174">
        <f>IF('VIB SPEC SHEET'!$K$85="NEMA 4",IF(AND(I117&gt;'VIB SPEC SHEET'!$AL$85,AND(H117&lt;=$H$114,H117&lt;=$H$115,H117&lt;=$H$116,H117&lt;=$H$117,H117&lt;=$H$118,H117&lt;=$H$119,H117&lt;=$H$120,H117&lt;=$H$121,H117&lt;=$H$122,H117&lt;=$H$123,H117&lt;=$H$124,H117&lt;=$H$125,H117&lt;=$H$126,H117&lt;=$H$127,H117&lt;=$H$128,H117&lt;=$H$129,H117&lt;=$H$130,H117&lt;=$H$131,H117&lt;=$H$132,H117&lt;=$H$133,H117&lt;=$H$134,H117&lt;=$H$135,H117&lt;=$H$136,H117&lt;=$H$137,H117&lt;=$H$138,H117&lt;=$H$139,H117&lt;=$H$140,H117&lt;=$H$141,H117&lt;=$H$142,H117&lt;=$H$143)),CONCATENATE(J117,"&amp;"),""),"")</f>
      </c>
      <c r="H117" s="176" t="e">
        <f>IF((I117-'VIB SPEC SHEET'!$AL$85)&gt;0,I117-'VIB SPEC SHEET'!$AL$85,10^10)</f>
        <v>#VALUE!</v>
      </c>
      <c r="I117" s="231"/>
      <c r="J117" s="232"/>
      <c r="K117" s="233"/>
      <c r="M117" s="174">
        <f>IF('VIB SPEC SHEET'!$K$85="NEMA 4X SS",IF(AND(O117&gt;'VIB SPEC SHEET'!$AL$85,AND(N117&lt;=$N$114,N117&lt;=$N$115,N117&lt;=$N$116,N117&lt;=$N$117,N117&lt;=$N$118,N117&lt;=$N$119,N117&lt;=$N$120,N117&lt;=$N$121,N117&lt;=$N$122,N117&lt;=$N$123,N117&lt;=$N$124,N117&lt;=$N$125,N117&lt;=$N$126,N117&lt;=$N$127,N117&lt;=$N$128,N117&lt;=$N$129,N117&lt;=$N$130,N117&lt;=$N$131,N117&lt;=$N$132,N117&lt;=$N$133,N117&lt;=$N$134,N117&lt;=$N$135,N117&lt;=$N$136,N117&lt;=$N$137,N117&lt;=$N$138,N117&lt;=$N$139,N117&lt;=$N$140,N117&lt;=$N$141,N117&lt;=$N$142,N117&lt;=$N$143)),CONCATENATE(P117,"&amp;"),""),"")</f>
      </c>
      <c r="N117" s="176" t="e">
        <f>IF((O117-'VIB SPEC SHEET'!$AL$85)&gt;0,O117-'VIB SPEC SHEET'!$AL$85,10^10)</f>
        <v>#VALUE!</v>
      </c>
      <c r="O117" s="231"/>
      <c r="P117" s="232"/>
      <c r="Q117" s="233"/>
      <c r="S117" s="182"/>
      <c r="T117" s="182"/>
      <c r="U117" s="182"/>
      <c r="V117" s="182"/>
    </row>
    <row r="118" spans="1:22" ht="15">
      <c r="A118" s="174">
        <f>IF('VIB SPEC SHEET'!$K$85="NEMA 12",IF(AND(C118&gt;'VIB SPEC SHEET'!$AL$85,AND(B118&lt;=$B$114,B118&lt;=$B$115,B118&lt;=$B$116,B118&lt;=$B$117,B118&lt;=$B$118,B118&lt;=$B$119,B118&lt;=$B$120,B118&lt;=$B$121,B118&lt;=$B$122,B118&lt;=$B$123,B118&lt;=$B$124,B118&lt;=$B$125,B118&lt;=$B$126,B118&lt;=$B$127,B118&lt;=$B$128,B118&lt;=$B$129,B118&lt;=$B$130,B118&lt;=$B$131,B118&lt;=$B$132,B118&lt;=$B$133,B118&lt;=$B$134,B118&lt;=$B$135,B118&lt;=$B$136,B118&lt;=$B$137,B118&lt;=$B$138,B118&lt;=$B$139,B118&lt;=$B$140,B118&lt;=$B$141,B118&lt;=$B$142,B118&lt;=$B$143)),CONCATENATE(D118,"&amp;"),""),"")</f>
      </c>
      <c r="B118" s="176" t="e">
        <f>IF((C118-'VIB SPEC SHEET'!$AL$85)&gt;0,C118-'VIB SPEC SHEET'!$AL$85,10^10)</f>
        <v>#VALUE!</v>
      </c>
      <c r="C118" s="240"/>
      <c r="D118" s="241"/>
      <c r="E118" s="242"/>
      <c r="F118" s="197"/>
      <c r="G118" s="174">
        <f>IF('VIB SPEC SHEET'!$K$85="NEMA 4",IF(AND(I118&gt;'VIB SPEC SHEET'!$AL$85,AND(H118&lt;=$H$114,H118&lt;=$H$115,H118&lt;=$H$116,H118&lt;=$H$117,H118&lt;=$H$118,H118&lt;=$H$119,H118&lt;=$H$120,H118&lt;=$H$121,H118&lt;=$H$122,H118&lt;=$H$123,H118&lt;=$H$124,H118&lt;=$H$125,H118&lt;=$H$126,H118&lt;=$H$127,H118&lt;=$H$128,H118&lt;=$H$129,H118&lt;=$H$130,H118&lt;=$H$131,H118&lt;=$H$132,H118&lt;=$H$133,H118&lt;=$H$134,H118&lt;=$H$135,H118&lt;=$H$136,H118&lt;=$H$137,H118&lt;=$H$138,H118&lt;=$H$139,H118&lt;=$H$140,H118&lt;=$H$141,H118&lt;=$H$142,H118&lt;=$H$143)),CONCATENATE(J118,"&amp;"),""),"")</f>
      </c>
      <c r="H118" s="176" t="e">
        <f>IF((I118-'VIB SPEC SHEET'!$AL$85)&gt;0,I118-'VIB SPEC SHEET'!$AL$85,10^10)</f>
        <v>#VALUE!</v>
      </c>
      <c r="I118" s="240"/>
      <c r="J118" s="241"/>
      <c r="K118" s="242"/>
      <c r="L118" s="197"/>
      <c r="M118" s="174">
        <f>IF('VIB SPEC SHEET'!$K$85="NEMA 4X SS",IF(AND(O118&gt;'VIB SPEC SHEET'!$AL$85,AND(N118&lt;=$N$114,N118&lt;=$N$115,N118&lt;=$N$116,N118&lt;=$N$117,N118&lt;=$N$118,N118&lt;=$N$119,N118&lt;=$N$120,N118&lt;=$N$121,N118&lt;=$N$122,N118&lt;=$N$123,N118&lt;=$N$124,N118&lt;=$N$125,N118&lt;=$N$126,N118&lt;=$N$127,N118&lt;=$N$128,N118&lt;=$N$129,N118&lt;=$N$130,N118&lt;=$N$131,N118&lt;=$N$132,N118&lt;=$N$133,N118&lt;=$N$134,N118&lt;=$N$135,N118&lt;=$N$136,N118&lt;=$N$137,N118&lt;=$N$138,N118&lt;=$N$139,N118&lt;=$N$140,N118&lt;=$N$141,N118&lt;=$N$142,N118&lt;=$N$143)),CONCATENATE(P118,"&amp;"),""),"")</f>
      </c>
      <c r="N118" s="176" t="e">
        <f>IF((O118-'VIB SPEC SHEET'!$AL$85)&gt;0,O118-'VIB SPEC SHEET'!$AL$85,10^10)</f>
        <v>#VALUE!</v>
      </c>
      <c r="O118" s="240"/>
      <c r="P118" s="241"/>
      <c r="Q118" s="242"/>
      <c r="S118" s="180"/>
      <c r="T118" s="180"/>
      <c r="U118" s="190"/>
      <c r="V118" s="198"/>
    </row>
    <row r="119" spans="1:22" ht="15">
      <c r="A119" s="174">
        <f>IF('VIB SPEC SHEET'!$K$85="NEMA 12",IF(AND(C119&gt;'VIB SPEC SHEET'!$AL$85,AND(B119&lt;=$B$114,B119&lt;=$B$115,B119&lt;=$B$116,B119&lt;=$B$117,B119&lt;=$B$118,B119&lt;=$B$119,B119&lt;=$B$120,B119&lt;=$B$121,B119&lt;=$B$122,B119&lt;=$B$123,B119&lt;=$B$124,B119&lt;=$B$125,B119&lt;=$B$126,B119&lt;=$B$127,B119&lt;=$B$128,B119&lt;=$B$129,B119&lt;=$B$130,B119&lt;=$B$131,B119&lt;=$B$132,B119&lt;=$B$133,B119&lt;=$B$134,B119&lt;=$B$135,B119&lt;=$B$136,B119&lt;=$B$137,B119&lt;=$B$138,B119&lt;=$B$139,B119&lt;=$B$140,B119&lt;=$B$141,B119&lt;=$B$142,B119&lt;=$B$143)),CONCATENATE(D119,"&amp;"),""),"")</f>
      </c>
      <c r="B119" s="176" t="e">
        <f>IF((C119-'VIB SPEC SHEET'!$AL$85)&gt;0,C119-'VIB SPEC SHEET'!$AL$85,10^10)</f>
        <v>#VALUE!</v>
      </c>
      <c r="C119" s="231">
        <v>7</v>
      </c>
      <c r="D119" s="232" t="s">
        <v>188</v>
      </c>
      <c r="E119" s="233">
        <v>132839</v>
      </c>
      <c r="F119" s="197"/>
      <c r="G119" s="174">
        <f>IF('VIB SPEC SHEET'!$K$85="NEMA 4",IF(AND(I119&gt;'VIB SPEC SHEET'!$AL$85,AND(H119&lt;=$H$114,H119&lt;=$H$115,H119&lt;=$H$116,H119&lt;=$H$117,H119&lt;=$H$118,H119&lt;=$H$119,H119&lt;=$H$120,H119&lt;=$H$121,H119&lt;=$H$122,H119&lt;=$H$123,H119&lt;=$H$124,H119&lt;=$H$125,H119&lt;=$H$126,H119&lt;=$H$127,H119&lt;=$H$128,H119&lt;=$H$129,H119&lt;=$H$130,H119&lt;=$H$131,H119&lt;=$H$132,H119&lt;=$H$133,H119&lt;=$H$134,H119&lt;=$H$135,H119&lt;=$H$136,H119&lt;=$H$137,H119&lt;=$H$138,H119&lt;=$H$139,H119&lt;=$H$140,H119&lt;=$H$141,H119&lt;=$H$142,H119&lt;=$H$143)),CONCATENATE(J119,"&amp;"),""),"")</f>
      </c>
      <c r="H119" s="176" t="e">
        <f>IF((I119-'VIB SPEC SHEET'!$AL$85)&gt;0,I119-'VIB SPEC SHEET'!$AL$85,10^10)</f>
        <v>#VALUE!</v>
      </c>
      <c r="I119" s="231"/>
      <c r="J119" s="232"/>
      <c r="K119" s="233"/>
      <c r="L119" s="197"/>
      <c r="M119" s="174">
        <f>IF('VIB SPEC SHEET'!$K$85="NEMA 4X SS",IF(AND(O119&gt;'VIB SPEC SHEET'!$AL$85,AND(N119&lt;=$N$114,N119&lt;=$N$115,N119&lt;=$N$116,N119&lt;=$N$117,N119&lt;=$N$118,N119&lt;=$N$119,N119&lt;=$N$120,N119&lt;=$N$121,N119&lt;=$N$122,N119&lt;=$N$123,N119&lt;=$N$124,N119&lt;=$N$125,N119&lt;=$N$126,N119&lt;=$N$127,N119&lt;=$N$128,N119&lt;=$N$129,N119&lt;=$N$130,N119&lt;=$N$131,N119&lt;=$N$132,N119&lt;=$N$133,N119&lt;=$N$134,N119&lt;=$N$135,N119&lt;=$N$136,N119&lt;=$N$137,N119&lt;=$N$138,N119&lt;=$N$139,N119&lt;=$N$140,N119&lt;=$N$141,N119&lt;=$N$142,N119&lt;=$N$143)),CONCATENATE(P119,"&amp;"),""),"")</f>
      </c>
      <c r="N119" s="176" t="e">
        <f>IF((O119-'VIB SPEC SHEET'!$AL$85)&gt;0,O119-'VIB SPEC SHEET'!$AL$85,10^10)</f>
        <v>#VALUE!</v>
      </c>
      <c r="O119" s="231"/>
      <c r="P119" s="232"/>
      <c r="Q119" s="233"/>
      <c r="S119" s="180"/>
      <c r="T119" s="180"/>
      <c r="U119" s="190"/>
      <c r="V119" s="198"/>
    </row>
    <row r="120" spans="1:22" ht="15">
      <c r="A120" s="174">
        <f>IF('VIB SPEC SHEET'!$K$85="NEMA 12",IF(AND(C120&gt;'VIB SPEC SHEET'!$AL$85,AND(B120&lt;=$B$114,B120&lt;=$B$115,B120&lt;=$B$116,B120&lt;=$B$117,B120&lt;=$B$118,B120&lt;=$B$119,B120&lt;=$B$120,B120&lt;=$B$121,B120&lt;=$B$122,B120&lt;=$B$123,B120&lt;=$B$124,B120&lt;=$B$125,B120&lt;=$B$126,B120&lt;=$B$127,B120&lt;=$B$128,B120&lt;=$B$129,B120&lt;=$B$130,B120&lt;=$B$131,B120&lt;=$B$132,B120&lt;=$B$133,B120&lt;=$B$134,B120&lt;=$B$135,B120&lt;=$B$136,B120&lt;=$B$137,B120&lt;=$B$138,B120&lt;=$B$139,B120&lt;=$B$140,B120&lt;=$B$141,B120&lt;=$B$142,B120&lt;=$B$143)),CONCATENATE(D120,"&amp;"),""),"")</f>
      </c>
      <c r="B120" s="176" t="e">
        <f>IF((C120-'VIB SPEC SHEET'!$AL$85)&gt;0,C120-'VIB SPEC SHEET'!$AL$85,10^10)</f>
        <v>#VALUE!</v>
      </c>
      <c r="C120" s="231"/>
      <c r="D120" s="232"/>
      <c r="E120" s="233"/>
      <c r="F120" s="197"/>
      <c r="G120" s="174">
        <f>IF('VIB SPEC SHEET'!$K$85="NEMA 4",IF(AND(I120&gt;'VIB SPEC SHEET'!$AL$85,AND(H120&lt;=$H$114,H120&lt;=$H$115,H120&lt;=$H$116,H120&lt;=$H$117,H120&lt;=$H$118,H120&lt;=$H$119,H120&lt;=$H$120,H120&lt;=$H$121,H120&lt;=$H$122,H120&lt;=$H$123,H120&lt;=$H$124,H120&lt;=$H$125,H120&lt;=$H$126,H120&lt;=$H$127,H120&lt;=$H$128,H120&lt;=$H$129,H120&lt;=$H$130,H120&lt;=$H$131,H120&lt;=$H$132,H120&lt;=$H$133,H120&lt;=$H$134,H120&lt;=$H$135,H120&lt;=$H$136,H120&lt;=$H$137,H120&lt;=$H$138,H120&lt;=$H$139,H120&lt;=$H$140,H120&lt;=$H$141,H120&lt;=$H$142,H120&lt;=$H$143)),CONCATENATE(J120,"&amp;"),""),"")</f>
      </c>
      <c r="H120" s="176" t="e">
        <f>IF((I120-'VIB SPEC SHEET'!$AL$85)&gt;0,I120-'VIB SPEC SHEET'!$AL$85,10^10)</f>
        <v>#VALUE!</v>
      </c>
      <c r="I120" s="231"/>
      <c r="J120" s="232"/>
      <c r="K120" s="233"/>
      <c r="L120" s="197"/>
      <c r="M120" s="174">
        <f>IF('VIB SPEC SHEET'!$K$85="NEMA 4X SS",IF(AND(O120&gt;'VIB SPEC SHEET'!$AL$85,AND(N120&lt;=$N$114,N120&lt;=$N$115,N120&lt;=$N$116,N120&lt;=$N$117,N120&lt;=$N$118,N120&lt;=$N$119,N120&lt;=$N$120,N120&lt;=$N$121,N120&lt;=$N$122,N120&lt;=$N$123,N120&lt;=$N$124,N120&lt;=$N$125,N120&lt;=$N$126,N120&lt;=$N$127,N120&lt;=$N$128,N120&lt;=$N$129,N120&lt;=$N$130,N120&lt;=$N$131,N120&lt;=$N$132,N120&lt;=$N$133,N120&lt;=$N$134,N120&lt;=$N$135,N120&lt;=$N$136,N120&lt;=$N$137,N120&lt;=$N$138,N120&lt;=$N$139,N120&lt;=$N$140,N120&lt;=$N$141,N120&lt;=$N$142,N120&lt;=$N$143)),CONCATENATE(P120,"&amp;"),""),"")</f>
      </c>
      <c r="N120" s="176" t="e">
        <f>IF((O120-'VIB SPEC SHEET'!$AL$85)&gt;0,O120-'VIB SPEC SHEET'!$AL$85,10^10)</f>
        <v>#VALUE!</v>
      </c>
      <c r="O120" s="231"/>
      <c r="P120" s="232"/>
      <c r="Q120" s="233"/>
      <c r="S120" s="180"/>
      <c r="T120" s="180"/>
      <c r="U120" s="190"/>
      <c r="V120" s="198"/>
    </row>
    <row r="121" spans="1:22" ht="15">
      <c r="A121" s="174">
        <f>IF('VIB SPEC SHEET'!$K$85="NEMA 12",IF(AND(C121&gt;'VIB SPEC SHEET'!$AL$85,AND(B121&lt;=$B$114,B121&lt;=$B$115,B121&lt;=$B$116,B121&lt;=$B$117,B121&lt;=$B$118,B121&lt;=$B$119,B121&lt;=$B$120,B121&lt;=$B$121,B121&lt;=$B$122,B121&lt;=$B$123,B121&lt;=$B$124,B121&lt;=$B$125,B121&lt;=$B$126,B121&lt;=$B$127,B121&lt;=$B$128,B121&lt;=$B$129,B121&lt;=$B$130,B121&lt;=$B$131,B121&lt;=$B$132,B121&lt;=$B$133,B121&lt;=$B$134,B121&lt;=$B$135,B121&lt;=$B$136,B121&lt;=$B$137,B121&lt;=$B$138,B121&lt;=$B$139,B121&lt;=$B$140,B121&lt;=$B$141,B121&lt;=$B$142,B121&lt;=$B$143)),CONCATENATE(D121,"&amp;"),""),"")</f>
      </c>
      <c r="B121" s="176" t="e">
        <f>IF((C121-'VIB SPEC SHEET'!$AL$85)&gt;0,C121-'VIB SPEC SHEET'!$AL$85,10^10)</f>
        <v>#VALUE!</v>
      </c>
      <c r="C121" s="231"/>
      <c r="D121" s="232"/>
      <c r="E121" s="233"/>
      <c r="F121" s="197"/>
      <c r="G121" s="174">
        <f>IF('VIB SPEC SHEET'!$K$85="NEMA 4",IF(AND(I121&gt;'VIB SPEC SHEET'!$AL$85,AND(H121&lt;=$H$114,H121&lt;=$H$115,H121&lt;=$H$116,H121&lt;=$H$117,H121&lt;=$H$118,H121&lt;=$H$119,H121&lt;=$H$120,H121&lt;=$H$121,H121&lt;=$H$122,H121&lt;=$H$123,H121&lt;=$H$124,H121&lt;=$H$125,H121&lt;=$H$126,H121&lt;=$H$127,H121&lt;=$H$128,H121&lt;=$H$129,H121&lt;=$H$130,H121&lt;=$H$131,H121&lt;=$H$132,H121&lt;=$H$133,H121&lt;=$H$134,H121&lt;=$H$135,H121&lt;=$H$136,H121&lt;=$H$137,H121&lt;=$H$138,H121&lt;=$H$139,H121&lt;=$H$140,H121&lt;=$H$141,H121&lt;=$H$142,H121&lt;=$H$143)),CONCATENATE(J121,"&amp;"),""),"")</f>
      </c>
      <c r="H121" s="176" t="e">
        <f>IF((I121-'VIB SPEC SHEET'!$AL$85)&gt;0,I121-'VIB SPEC SHEET'!$AL$85,10^10)</f>
        <v>#VALUE!</v>
      </c>
      <c r="I121" s="231"/>
      <c r="J121" s="232"/>
      <c r="K121" s="233"/>
      <c r="L121" s="197"/>
      <c r="M121" s="174">
        <f>IF('VIB SPEC SHEET'!$K$85="NEMA 4X SS",IF(AND(O121&gt;'VIB SPEC SHEET'!$AL$85,AND(N121&lt;=$N$114,N121&lt;=$N$115,N121&lt;=$N$116,N121&lt;=$N$117,N121&lt;=$N$118,N121&lt;=$N$119,N121&lt;=$N$120,N121&lt;=$N$121,N121&lt;=$N$122,N121&lt;=$N$123,N121&lt;=$N$124,N121&lt;=$N$125,N121&lt;=$N$126,N121&lt;=$N$127,N121&lt;=$N$128,N121&lt;=$N$129,N121&lt;=$N$130,N121&lt;=$N$131,N121&lt;=$N$132,N121&lt;=$N$133,N121&lt;=$N$134,N121&lt;=$N$135,N121&lt;=$N$136,N121&lt;=$N$137,N121&lt;=$N$138,N121&lt;=$N$139,N121&lt;=$N$140,N121&lt;=$N$141,N121&lt;=$N$142,N121&lt;=$N$143)),CONCATENATE(P121,"&amp;"),""),"")</f>
      </c>
      <c r="N121" s="176" t="e">
        <f>IF((O121-'VIB SPEC SHEET'!$AL$85)&gt;0,O121-'VIB SPEC SHEET'!$AL$85,10^10)</f>
        <v>#VALUE!</v>
      </c>
      <c r="O121" s="231"/>
      <c r="P121" s="232"/>
      <c r="Q121" s="233"/>
      <c r="S121" s="180"/>
      <c r="T121" s="180"/>
      <c r="U121" s="190"/>
      <c r="V121" s="198"/>
    </row>
    <row r="122" spans="1:22" ht="15">
      <c r="A122" s="174">
        <f>IF('VIB SPEC SHEET'!$K$85="NEMA 12",IF(AND(C122&gt;'VIB SPEC SHEET'!$AL$85,AND(B122&lt;=$B$114,B122&lt;=$B$115,B122&lt;=$B$116,B122&lt;=$B$117,B122&lt;=$B$118,B122&lt;=$B$119,B122&lt;=$B$120,B122&lt;=$B$121,B122&lt;=$B$122,B122&lt;=$B$123,B122&lt;=$B$124,B122&lt;=$B$125,B122&lt;=$B$126,B122&lt;=$B$127,B122&lt;=$B$128,B122&lt;=$B$129,B122&lt;=$B$130,B122&lt;=$B$131,B122&lt;=$B$132,B122&lt;=$B$133,B122&lt;=$B$134,B122&lt;=$B$135,B122&lt;=$B$136,B122&lt;=$B$137,B122&lt;=$B$138,B122&lt;=$B$139,B122&lt;=$B$140,B122&lt;=$B$141,B122&lt;=$B$142,B122&lt;=$B$143)),CONCATENATE(D122,"&amp;"),""),"")</f>
      </c>
      <c r="B122" s="176" t="e">
        <f>IF((C122-'VIB SPEC SHEET'!$AL$85)&gt;0,C122-'VIB SPEC SHEET'!$AL$85,10^10)</f>
        <v>#VALUE!</v>
      </c>
      <c r="C122" s="231"/>
      <c r="D122" s="232"/>
      <c r="E122" s="233"/>
      <c r="F122" s="197"/>
      <c r="G122" s="174">
        <f>IF('VIB SPEC SHEET'!$K$85="NEMA 4",IF(AND(I122&gt;'VIB SPEC SHEET'!$AL$85,AND(H122&lt;=$H$114,H122&lt;=$H$115,H122&lt;=$H$116,H122&lt;=$H$117,H122&lt;=$H$118,H122&lt;=$H$119,H122&lt;=$H$120,H122&lt;=$H$121,H122&lt;=$H$122,H122&lt;=$H$123,H122&lt;=$H$124,H122&lt;=$H$125,H122&lt;=$H$126,H122&lt;=$H$127,H122&lt;=$H$128,H122&lt;=$H$129,H122&lt;=$H$130,H122&lt;=$H$131,H122&lt;=$H$132,H122&lt;=$H$133,H122&lt;=$H$134,H122&lt;=$H$135,H122&lt;=$H$136,H122&lt;=$H$137,H122&lt;=$H$138,H122&lt;=$H$139,H122&lt;=$H$140,H122&lt;=$H$141,H122&lt;=$H$142,H122&lt;=$H$143)),CONCATENATE(J122,"&amp;"),""),"")</f>
      </c>
      <c r="H122" s="176" t="e">
        <f>IF((I122-'VIB SPEC SHEET'!$AL$85)&gt;0,I122-'VIB SPEC SHEET'!$AL$85,10^10)</f>
        <v>#VALUE!</v>
      </c>
      <c r="I122" s="231"/>
      <c r="J122" s="232"/>
      <c r="K122" s="233"/>
      <c r="L122" s="197"/>
      <c r="M122" s="174">
        <f>IF('VIB SPEC SHEET'!$K$85="NEMA 4X SS",IF(AND(O122&gt;'VIB SPEC SHEET'!$AL$85,AND(N122&lt;=$N$114,N122&lt;=$N$115,N122&lt;=$N$116,N122&lt;=$N$117,N122&lt;=$N$118,N122&lt;=$N$119,N122&lt;=$N$120,N122&lt;=$N$121,N122&lt;=$N$122,N122&lt;=$N$123,N122&lt;=$N$124,N122&lt;=$N$125,N122&lt;=$N$126,N122&lt;=$N$127,N122&lt;=$N$128,N122&lt;=$N$129,N122&lt;=$N$130,N122&lt;=$N$131,N122&lt;=$N$132,N122&lt;=$N$133,N122&lt;=$N$134,N122&lt;=$N$135,N122&lt;=$N$136,N122&lt;=$N$137,N122&lt;=$N$138,N122&lt;=$N$139,N122&lt;=$N$140,N122&lt;=$N$141,N122&lt;=$N$142,N122&lt;=$N$143)),CONCATENATE(P122,"&amp;"),""),"")</f>
      </c>
      <c r="N122" s="176" t="e">
        <f>IF((O122-'VIB SPEC SHEET'!$AL$85)&gt;0,O122-'VIB SPEC SHEET'!$AL$85,10^10)</f>
        <v>#VALUE!</v>
      </c>
      <c r="O122" s="231"/>
      <c r="P122" s="232"/>
      <c r="Q122" s="233"/>
      <c r="S122" s="180"/>
      <c r="T122" s="180"/>
      <c r="U122" s="190"/>
      <c r="V122" s="198"/>
    </row>
    <row r="123" spans="1:22" ht="15">
      <c r="A123" s="174">
        <f>IF('VIB SPEC SHEET'!$K$85="NEMA 12",IF(AND(C123&gt;'VIB SPEC SHEET'!$AL$85,AND(B123&lt;=$B$114,B123&lt;=$B$115,B123&lt;=$B$116,B123&lt;=$B$117,B123&lt;=$B$118,B123&lt;=$B$119,B123&lt;=$B$120,B123&lt;=$B$121,B123&lt;=$B$122,B123&lt;=$B$123,B123&lt;=$B$124,B123&lt;=$B$125,B123&lt;=$B$126,B123&lt;=$B$127,B123&lt;=$B$128,B123&lt;=$B$129,B123&lt;=$B$130,B123&lt;=$B$131,B123&lt;=$B$132,B123&lt;=$B$133,B123&lt;=$B$134,B123&lt;=$B$135,B123&lt;=$B$136,B123&lt;=$B$137,B123&lt;=$B$138,B123&lt;=$B$139,B123&lt;=$B$140,B123&lt;=$B$141,B123&lt;=$B$142,B123&lt;=$B$143)),CONCATENATE(D123,"&amp;"),""),"")</f>
      </c>
      <c r="B123" s="176" t="e">
        <f>IF((C123-'VIB SPEC SHEET'!$AL$85)&gt;0,C123-'VIB SPEC SHEET'!$AL$85,10^10)</f>
        <v>#VALUE!</v>
      </c>
      <c r="C123" s="231">
        <v>8</v>
      </c>
      <c r="D123" s="232" t="s">
        <v>167</v>
      </c>
      <c r="E123" s="233">
        <v>132843</v>
      </c>
      <c r="F123" s="197"/>
      <c r="G123" s="174">
        <f>IF('VIB SPEC SHEET'!$K$85="NEMA 4",IF(AND(I123&gt;'VIB SPEC SHEET'!$AL$85,AND(H123&lt;=$H$114,H123&lt;=$H$115,H123&lt;=$H$116,H123&lt;=$H$117,H123&lt;=$H$118,H123&lt;=$H$119,H123&lt;=$H$120,H123&lt;=$H$121,H123&lt;=$H$122,H123&lt;=$H$123,H123&lt;=$H$124,H123&lt;=$H$125,H123&lt;=$H$126,H123&lt;=$H$127,H123&lt;=$H$128,H123&lt;=$H$129,H123&lt;=$H$130,H123&lt;=$H$131,H123&lt;=$H$132,H123&lt;=$H$133,H123&lt;=$H$134,H123&lt;=$H$135,H123&lt;=$H$136,H123&lt;=$H$137,H123&lt;=$H$138,H123&lt;=$H$139,H123&lt;=$H$140,H123&lt;=$H$141,H123&lt;=$H$142,H123&lt;=$H$143)),CONCATENATE(J123,"&amp;"),""),"")</f>
      </c>
      <c r="H123" s="176" t="e">
        <f>IF((I123-'VIB SPEC SHEET'!$AL$85)&gt;0,I123-'VIB SPEC SHEET'!$AL$85,10^10)</f>
        <v>#VALUE!</v>
      </c>
      <c r="I123" s="231"/>
      <c r="J123" s="232"/>
      <c r="K123" s="233"/>
      <c r="L123" s="197"/>
      <c r="M123" s="174">
        <f>IF('VIB SPEC SHEET'!$K$85="NEMA 4X SS",IF(AND(O123&gt;'VIB SPEC SHEET'!$AL$85,AND(N123&lt;=$N$114,N123&lt;=$N$115,N123&lt;=$N$116,N123&lt;=$N$117,N123&lt;=$N$118,N123&lt;=$N$119,N123&lt;=$N$120,N123&lt;=$N$121,N123&lt;=$N$122,N123&lt;=$N$123,N123&lt;=$N$124,N123&lt;=$N$125,N123&lt;=$N$126,N123&lt;=$N$127,N123&lt;=$N$128,N123&lt;=$N$129,N123&lt;=$N$130,N123&lt;=$N$131,N123&lt;=$N$132,N123&lt;=$N$133,N123&lt;=$N$134,N123&lt;=$N$135,N123&lt;=$N$136,N123&lt;=$N$137,N123&lt;=$N$138,N123&lt;=$N$139,N123&lt;=$N$140,N123&lt;=$N$141,N123&lt;=$N$142,N123&lt;=$N$143)),CONCATENATE(P123,"&amp;"),""),"")</f>
      </c>
      <c r="N123" s="176" t="e">
        <f>IF((O123-'VIB SPEC SHEET'!$AL$85)&gt;0,O123-'VIB SPEC SHEET'!$AL$85,10^10)</f>
        <v>#VALUE!</v>
      </c>
      <c r="O123" s="231"/>
      <c r="P123" s="232"/>
      <c r="Q123" s="233"/>
      <c r="S123" s="180"/>
      <c r="T123" s="180"/>
      <c r="U123" s="190"/>
      <c r="V123" s="198"/>
    </row>
    <row r="124" spans="1:22" ht="15">
      <c r="A124" s="174">
        <f>IF('VIB SPEC SHEET'!$K$85="NEMA 12",IF(AND(C124&gt;'VIB SPEC SHEET'!$AL$85,AND(B124&lt;=$B$114,B124&lt;=$B$115,B124&lt;=$B$116,B124&lt;=$B$117,B124&lt;=$B$118,B124&lt;=$B$119,B124&lt;=$B$120,B124&lt;=$B$121,B124&lt;=$B$122,B124&lt;=$B$123,B124&lt;=$B$124,B124&lt;=$B$125,B124&lt;=$B$126,B124&lt;=$B$127,B124&lt;=$B$128,B124&lt;=$B$129,B124&lt;=$B$130,B124&lt;=$B$131,B124&lt;=$B$132,B124&lt;=$B$133,B124&lt;=$B$134,B124&lt;=$B$135,B124&lt;=$B$136,B124&lt;=$B$137,B124&lt;=$B$138,B124&lt;=$B$139,B124&lt;=$B$140,B124&lt;=$B$141,B124&lt;=$B$142,B124&lt;=$B$143)),CONCATENATE(D124,"&amp;"),""),"")</f>
      </c>
      <c r="B124" s="176" t="e">
        <f>IF((C124-'VIB SPEC SHEET'!$AL$85)&gt;0,C124-'VIB SPEC SHEET'!$AL$85,10^10)</f>
        <v>#VALUE!</v>
      </c>
      <c r="C124" s="231"/>
      <c r="D124" s="232"/>
      <c r="E124" s="233"/>
      <c r="F124" s="197"/>
      <c r="G124" s="174">
        <f>IF('VIB SPEC SHEET'!$K$85="NEMA 4",IF(AND(I124&gt;'VIB SPEC SHEET'!$AL$85,AND(H124&lt;=$H$114,H124&lt;=$H$115,H124&lt;=$H$116,H124&lt;=$H$117,H124&lt;=$H$118,H124&lt;=$H$119,H124&lt;=$H$120,H124&lt;=$H$121,H124&lt;=$H$122,H124&lt;=$H$123,H124&lt;=$H$124,H124&lt;=$H$125,H124&lt;=$H$126,H124&lt;=$H$127,H124&lt;=$H$128,H124&lt;=$H$129,H124&lt;=$H$130,H124&lt;=$H$131,H124&lt;=$H$132,H124&lt;=$H$133,H124&lt;=$H$134,H124&lt;=$H$135,H124&lt;=$H$136,H124&lt;=$H$137,H124&lt;=$H$138,H124&lt;=$H$139,H124&lt;=$H$140,H124&lt;=$H$141,H124&lt;=$H$142,H124&lt;=$H$143)),CONCATENATE(J124,"&amp;"),""),"")</f>
      </c>
      <c r="H124" s="176" t="e">
        <f>IF((I124-'VIB SPEC SHEET'!$AL$85)&gt;0,I124-'VIB SPEC SHEET'!$AL$85,10^10)</f>
        <v>#VALUE!</v>
      </c>
      <c r="I124" s="231"/>
      <c r="J124" s="232"/>
      <c r="K124" s="233"/>
      <c r="L124" s="197"/>
      <c r="M124" s="174">
        <f>IF('VIB SPEC SHEET'!$K$85="NEMA 4X SS",IF(AND(O124&gt;'VIB SPEC SHEET'!$AL$85,AND(N124&lt;=$N$114,N124&lt;=$N$115,N124&lt;=$N$116,N124&lt;=$N$117,N124&lt;=$N$118,N124&lt;=$N$119,N124&lt;=$N$120,N124&lt;=$N$121,N124&lt;=$N$122,N124&lt;=$N$123,N124&lt;=$N$124,N124&lt;=$N$125,N124&lt;=$N$126,N124&lt;=$N$127,N124&lt;=$N$128,N124&lt;=$N$129,N124&lt;=$N$130,N124&lt;=$N$131,N124&lt;=$N$132,N124&lt;=$N$133,N124&lt;=$N$134,N124&lt;=$N$135,N124&lt;=$N$136,N124&lt;=$N$137,N124&lt;=$N$138,N124&lt;=$N$139,N124&lt;=$N$140,N124&lt;=$N$141,N124&lt;=$N$142,N124&lt;=$N$143)),CONCATENATE(P124,"&amp;"),""),"")</f>
      </c>
      <c r="N124" s="176" t="e">
        <f>IF((O124-'VIB SPEC SHEET'!$AL$85)&gt;0,O124-'VIB SPEC SHEET'!$AL$85,10^10)</f>
        <v>#VALUE!</v>
      </c>
      <c r="O124" s="231"/>
      <c r="P124" s="232"/>
      <c r="Q124" s="233"/>
      <c r="S124" s="180"/>
      <c r="T124" s="180"/>
      <c r="U124" s="190"/>
      <c r="V124" s="198"/>
    </row>
    <row r="125" spans="1:22" ht="15">
      <c r="A125" s="174">
        <f>IF('VIB SPEC SHEET'!$K$85="NEMA 12",IF(AND(C125&gt;'VIB SPEC SHEET'!$AL$85,AND(B125&lt;=$B$114,B125&lt;=$B$115,B125&lt;=$B$116,B125&lt;=$B$117,B125&lt;=$B$118,B125&lt;=$B$119,B125&lt;=$B$120,B125&lt;=$B$121,B125&lt;=$B$122,B125&lt;=$B$123,B125&lt;=$B$124,B125&lt;=$B$125,B125&lt;=$B$126,B125&lt;=$B$127,B125&lt;=$B$128,B125&lt;=$B$129,B125&lt;=$B$130,B125&lt;=$B$131,B125&lt;=$B$132,B125&lt;=$B$133,B125&lt;=$B$134,B125&lt;=$B$135,B125&lt;=$B$136,B125&lt;=$B$137,B125&lt;=$B$138,B125&lt;=$B$139,B125&lt;=$B$140,B125&lt;=$B$141,B125&lt;=$B$142,B125&lt;=$B$143)),CONCATENATE(D125,"&amp;"),""),"")</f>
      </c>
      <c r="B125" s="176" t="e">
        <f>IF((C125-'VIB SPEC SHEET'!$AL$85)&gt;0,C125-'VIB SPEC SHEET'!$AL$85,10^10)</f>
        <v>#VALUE!</v>
      </c>
      <c r="C125" s="231"/>
      <c r="D125" s="232"/>
      <c r="E125" s="233"/>
      <c r="F125" s="197"/>
      <c r="G125" s="174">
        <f>IF('VIB SPEC SHEET'!$K$85="NEMA 4",IF(AND(I125&gt;'VIB SPEC SHEET'!$AL$85,AND(H125&lt;=$H$114,H125&lt;=$H$115,H125&lt;=$H$116,H125&lt;=$H$117,H125&lt;=$H$118,H125&lt;=$H$119,H125&lt;=$H$120,H125&lt;=$H$121,H125&lt;=$H$122,H125&lt;=$H$123,H125&lt;=$H$124,H125&lt;=$H$125,H125&lt;=$H$126,H125&lt;=$H$127,H125&lt;=$H$128,H125&lt;=$H$129,H125&lt;=$H$130,H125&lt;=$H$131,H125&lt;=$H$132,H125&lt;=$H$133,H125&lt;=$H$134,H125&lt;=$H$135,H125&lt;=$H$136,H125&lt;=$H$137,H125&lt;=$H$138,H125&lt;=$H$139,H125&lt;=$H$140,H125&lt;=$H$141,H125&lt;=$H$142,H125&lt;=$H$143)),CONCATENATE(J125,"&amp;"),""),"")</f>
      </c>
      <c r="H125" s="176" t="e">
        <f>IF((I125-'VIB SPEC SHEET'!$AL$85)&gt;0,I125-'VIB SPEC SHEET'!$AL$85,10^10)</f>
        <v>#VALUE!</v>
      </c>
      <c r="I125" s="231"/>
      <c r="J125" s="232"/>
      <c r="K125" s="233"/>
      <c r="L125" s="197"/>
      <c r="M125" s="174">
        <f>IF('VIB SPEC SHEET'!$K$85="NEMA 4X SS",IF(AND(O125&gt;'VIB SPEC SHEET'!$AL$85,AND(N125&lt;=$N$114,N125&lt;=$N$115,N125&lt;=$N$116,N125&lt;=$N$117,N125&lt;=$N$118,N125&lt;=$N$119,N125&lt;=$N$120,N125&lt;=$N$121,N125&lt;=$N$122,N125&lt;=$N$123,N125&lt;=$N$124,N125&lt;=$N$125,N125&lt;=$N$126,N125&lt;=$N$127,N125&lt;=$N$128,N125&lt;=$N$129,N125&lt;=$N$130,N125&lt;=$N$131,N125&lt;=$N$132,N125&lt;=$N$133,N125&lt;=$N$134,N125&lt;=$N$135,N125&lt;=$N$136,N125&lt;=$N$137,N125&lt;=$N$138,N125&lt;=$N$139,N125&lt;=$N$140,N125&lt;=$N$141,N125&lt;=$N$142,N125&lt;=$N$143)),CONCATENATE(P125,"&amp;"),""),"")</f>
      </c>
      <c r="N125" s="176" t="e">
        <f>IF((O125-'VIB SPEC SHEET'!$AL$85)&gt;0,O125-'VIB SPEC SHEET'!$AL$85,10^10)</f>
        <v>#VALUE!</v>
      </c>
      <c r="O125" s="231"/>
      <c r="P125" s="232"/>
      <c r="Q125" s="233"/>
      <c r="S125" s="180"/>
      <c r="T125" s="180"/>
      <c r="U125" s="190"/>
      <c r="V125" s="198"/>
    </row>
    <row r="126" spans="1:22" ht="15">
      <c r="A126" s="174">
        <f>IF('VIB SPEC SHEET'!$K$85="NEMA 12",IF(AND(C126&gt;'VIB SPEC SHEET'!$AL$85,AND(B126&lt;=$B$114,B126&lt;=$B$115,B126&lt;=$B$116,B126&lt;=$B$117,B126&lt;=$B$118,B126&lt;=$B$119,B126&lt;=$B$120,B126&lt;=$B$121,B126&lt;=$B$122,B126&lt;=$B$123,B126&lt;=$B$124,B126&lt;=$B$125,B126&lt;=$B$126,B126&lt;=$B$127,B126&lt;=$B$128,B126&lt;=$B$129,B126&lt;=$B$130,B126&lt;=$B$131,B126&lt;=$B$132,B126&lt;=$B$133,B126&lt;=$B$134,B126&lt;=$B$135,B126&lt;=$B$136,B126&lt;=$B$137,B126&lt;=$B$138,B126&lt;=$B$139,B126&lt;=$B$140,B126&lt;=$B$141,B126&lt;=$B$142,B126&lt;=$B$143)),CONCATENATE(D126,"&amp;"),""),"")</f>
      </c>
      <c r="B126" s="176" t="e">
        <f>IF((C126-'VIB SPEC SHEET'!$AL$85)&gt;0,C126-'VIB SPEC SHEET'!$AL$85,10^10)</f>
        <v>#VALUE!</v>
      </c>
      <c r="C126" s="231"/>
      <c r="D126" s="232"/>
      <c r="E126" s="233"/>
      <c r="F126" s="197"/>
      <c r="G126" s="174">
        <f>IF('VIB SPEC SHEET'!$K$85="NEMA 4",IF(AND(I126&gt;'VIB SPEC SHEET'!$AL$85,AND(H126&lt;=$H$114,H126&lt;=$H$115,H126&lt;=$H$116,H126&lt;=$H$117,H126&lt;=$H$118,H126&lt;=$H$119,H126&lt;=$H$120,H126&lt;=$H$121,H126&lt;=$H$122,H126&lt;=$H$123,H126&lt;=$H$124,H126&lt;=$H$125,H126&lt;=$H$126,H126&lt;=$H$127,H126&lt;=$H$128,H126&lt;=$H$129,H126&lt;=$H$130,H126&lt;=$H$131,H126&lt;=$H$132,H126&lt;=$H$133,H126&lt;=$H$134,H126&lt;=$H$135,H126&lt;=$H$136,H126&lt;=$H$137,H126&lt;=$H$138,H126&lt;=$H$139,H126&lt;=$H$140,H126&lt;=$H$141,H126&lt;=$H$142,H126&lt;=$H$143)),CONCATENATE(J126,"&amp;"),""),"")</f>
      </c>
      <c r="H126" s="176" t="e">
        <f>IF((I126-'VIB SPEC SHEET'!$AL$85)&gt;0,I126-'VIB SPEC SHEET'!$AL$85,10^10)</f>
        <v>#VALUE!</v>
      </c>
      <c r="I126" s="231"/>
      <c r="J126" s="232"/>
      <c r="K126" s="233"/>
      <c r="L126" s="197"/>
      <c r="M126" s="174">
        <f>IF('VIB SPEC SHEET'!$K$85="NEMA 4X SS",IF(AND(O126&gt;'VIB SPEC SHEET'!$AL$85,AND(N126&lt;=$N$114,N126&lt;=$N$115,N126&lt;=$N$116,N126&lt;=$N$117,N126&lt;=$N$118,N126&lt;=$N$119,N126&lt;=$N$120,N126&lt;=$N$121,N126&lt;=$N$122,N126&lt;=$N$123,N126&lt;=$N$124,N126&lt;=$N$125,N126&lt;=$N$126,N126&lt;=$N$127,N126&lt;=$N$128,N126&lt;=$N$129,N126&lt;=$N$130,N126&lt;=$N$131,N126&lt;=$N$132,N126&lt;=$N$133,N126&lt;=$N$134,N126&lt;=$N$135,N126&lt;=$N$136,N126&lt;=$N$137,N126&lt;=$N$138,N126&lt;=$N$139,N126&lt;=$N$140,N126&lt;=$N$141,N126&lt;=$N$142,N126&lt;=$N$143)),CONCATENATE(P126,"&amp;"),""),"")</f>
      </c>
      <c r="N126" s="176" t="e">
        <f>IF((O126-'VIB SPEC SHEET'!$AL$85)&gt;0,O126-'VIB SPEC SHEET'!$AL$85,10^10)</f>
        <v>#VALUE!</v>
      </c>
      <c r="O126" s="231"/>
      <c r="P126" s="232"/>
      <c r="Q126" s="233"/>
      <c r="S126" s="180"/>
      <c r="T126" s="180"/>
      <c r="U126" s="190"/>
      <c r="V126" s="198"/>
    </row>
    <row r="127" spans="1:22" ht="15">
      <c r="A127" s="174">
        <f>IF('VIB SPEC SHEET'!$K$85="NEMA 12",IF(AND(C127&gt;'VIB SPEC SHEET'!$AL$85,AND(B127&lt;=$B$114,B127&lt;=$B$115,B127&lt;=$B$116,B127&lt;=$B$117,B127&lt;=$B$118,B127&lt;=$B$119,B127&lt;=$B$120,B127&lt;=$B$121,B127&lt;=$B$122,B127&lt;=$B$123,B127&lt;=$B$124,B127&lt;=$B$125,B127&lt;=$B$126,B127&lt;=$B$127,B127&lt;=$B$128,B127&lt;=$B$129,B127&lt;=$B$130,B127&lt;=$B$131,B127&lt;=$B$132,B127&lt;=$B$133,B127&lt;=$B$134,B127&lt;=$B$135,B127&lt;=$B$136,B127&lt;=$B$137,B127&lt;=$B$138,B127&lt;=$B$139,B127&lt;=$B$140,B127&lt;=$B$141,B127&lt;=$B$142,B127&lt;=$B$143)),CONCATENATE(D127,"&amp;"),""),"")</f>
      </c>
      <c r="B127" s="176" t="e">
        <f>IF((C127-'VIB SPEC SHEET'!$AL$85)&gt;0,C127-'VIB SPEC SHEET'!$AL$85,10^10)</f>
        <v>#VALUE!</v>
      </c>
      <c r="C127" s="231">
        <v>12.5</v>
      </c>
      <c r="D127" s="232" t="s">
        <v>191</v>
      </c>
      <c r="E127" s="233">
        <v>132840</v>
      </c>
      <c r="F127" s="197"/>
      <c r="G127" s="174">
        <f>IF('VIB SPEC SHEET'!$K$85="NEMA 4",IF(AND(I127&gt;'VIB SPEC SHEET'!$AL$85,AND(H127&lt;=$H$114,H127&lt;=$H$115,H127&lt;=$H$116,H127&lt;=$H$117,H127&lt;=$H$118,H127&lt;=$H$119,H127&lt;=$H$120,H127&lt;=$H$121,H127&lt;=$H$122,H127&lt;=$H$123,H127&lt;=$H$124,H127&lt;=$H$125,H127&lt;=$H$126,H127&lt;=$H$127,H127&lt;=$H$128,H127&lt;=$H$129,H127&lt;=$H$130,H127&lt;=$H$131,H127&lt;=$H$132,H127&lt;=$H$133,H127&lt;=$H$134,H127&lt;=$H$135,H127&lt;=$H$136,H127&lt;=$H$137,H127&lt;=$H$138,H127&lt;=$H$139,H127&lt;=$H$140,H127&lt;=$H$141,H127&lt;=$H$142,H127&lt;=$H$143)),CONCATENATE(J127,"&amp;"),""),"")</f>
      </c>
      <c r="H127" s="176" t="e">
        <f>IF((I127-'VIB SPEC SHEET'!$AL$85)&gt;0,I127-'VIB SPEC SHEET'!$AL$85,10^10)</f>
        <v>#VALUE!</v>
      </c>
      <c r="I127" s="231"/>
      <c r="J127" s="232"/>
      <c r="K127" s="233"/>
      <c r="L127" s="197"/>
      <c r="M127" s="174">
        <f>IF('VIB SPEC SHEET'!$K$85="NEMA 4X SS",IF(AND(O127&gt;'VIB SPEC SHEET'!$AL$85,AND(N127&lt;=$N$114,N127&lt;=$N$115,N127&lt;=$N$116,N127&lt;=$N$117,N127&lt;=$N$118,N127&lt;=$N$119,N127&lt;=$N$120,N127&lt;=$N$121,N127&lt;=$N$122,N127&lt;=$N$123,N127&lt;=$N$124,N127&lt;=$N$125,N127&lt;=$N$126,N127&lt;=$N$127,N127&lt;=$N$128,N127&lt;=$N$129,N127&lt;=$N$130,N127&lt;=$N$131,N127&lt;=$N$132,N127&lt;=$N$133,N127&lt;=$N$134,N127&lt;=$N$135,N127&lt;=$N$136,N127&lt;=$N$137,N127&lt;=$N$138,N127&lt;=$N$139,N127&lt;=$N$140,N127&lt;=$N$141,N127&lt;=$N$142,N127&lt;=$N$143)),CONCATENATE(P127,"&amp;"),""),"")</f>
      </c>
      <c r="N127" s="176" t="e">
        <f>IF((O127-'VIB SPEC SHEET'!$AL$85)&gt;0,O127-'VIB SPEC SHEET'!$AL$85,10^10)</f>
        <v>#VALUE!</v>
      </c>
      <c r="O127" s="231"/>
      <c r="P127" s="232"/>
      <c r="Q127" s="233"/>
      <c r="S127" s="180"/>
      <c r="T127" s="180"/>
      <c r="U127" s="190"/>
      <c r="V127" s="198"/>
    </row>
    <row r="128" spans="1:22" ht="15">
      <c r="A128" s="174">
        <f>IF('VIB SPEC SHEET'!$K$85="NEMA 12",IF(AND(C128&gt;'VIB SPEC SHEET'!$AL$85,AND(B128&lt;=$B$114,B128&lt;=$B$115,B128&lt;=$B$116,B128&lt;=$B$117,B128&lt;=$B$118,B128&lt;=$B$119,B128&lt;=$B$120,B128&lt;=$B$121,B128&lt;=$B$122,B128&lt;=$B$123,B128&lt;=$B$124,B128&lt;=$B$125,B128&lt;=$B$126,B128&lt;=$B$127,B128&lt;=$B$128,B128&lt;=$B$129,B128&lt;=$B$130,B128&lt;=$B$131,B128&lt;=$B$132,B128&lt;=$B$133,B128&lt;=$B$134,B128&lt;=$B$135,B128&lt;=$B$136,B128&lt;=$B$137,B128&lt;=$B$138,B128&lt;=$B$139,B128&lt;=$B$140,B128&lt;=$B$141,B128&lt;=$B$142,B128&lt;=$B$143)),CONCATENATE(D128,"&amp;"),""),"")</f>
      </c>
      <c r="B128" s="176" t="e">
        <f>IF((C128-'VIB SPEC SHEET'!$AL$85)&gt;0,C128-'VIB SPEC SHEET'!$AL$85,10^10)</f>
        <v>#VALUE!</v>
      </c>
      <c r="C128" s="231">
        <v>12.5</v>
      </c>
      <c r="D128" s="232" t="s">
        <v>166</v>
      </c>
      <c r="E128" s="233">
        <v>132844</v>
      </c>
      <c r="F128" s="197"/>
      <c r="G128" s="174">
        <f>IF('VIB SPEC SHEET'!$K$85="NEMA 4",IF(AND(I128&gt;'VIB SPEC SHEET'!$AL$85,AND(H128&lt;=$H$114,H128&lt;=$H$115,H128&lt;=$H$116,H128&lt;=$H$117,H128&lt;=$H$118,H128&lt;=$H$119,H128&lt;=$H$120,H128&lt;=$H$121,H128&lt;=$H$122,H128&lt;=$H$123,H128&lt;=$H$124,H128&lt;=$H$125,H128&lt;=$H$126,H128&lt;=$H$127,H128&lt;=$H$128,H128&lt;=$H$129,H128&lt;=$H$130,H128&lt;=$H$131,H128&lt;=$H$132,H128&lt;=$H$133,H128&lt;=$H$134,H128&lt;=$H$135,H128&lt;=$H$136,H128&lt;=$H$137,H128&lt;=$H$138,H128&lt;=$H$139,H128&lt;=$H$140,H128&lt;=$H$141,H128&lt;=$H$142,H128&lt;=$H$143)),CONCATENATE(J128,"&amp;"),""),"")</f>
      </c>
      <c r="H128" s="176" t="e">
        <f>IF((I128-'VIB SPEC SHEET'!$AL$85)&gt;0,I128-'VIB SPEC SHEET'!$AL$85,10^10)</f>
        <v>#VALUE!</v>
      </c>
      <c r="I128" s="231"/>
      <c r="J128" s="232"/>
      <c r="K128" s="233"/>
      <c r="L128" s="197"/>
      <c r="M128" s="174">
        <f>IF('VIB SPEC SHEET'!$K$85="NEMA 4X SS",IF(AND(O128&gt;'VIB SPEC SHEET'!$AL$85,AND(N128&lt;=$N$114,N128&lt;=$N$115,N128&lt;=$N$116,N128&lt;=$N$117,N128&lt;=$N$118,N128&lt;=$N$119,N128&lt;=$N$120,N128&lt;=$N$121,N128&lt;=$N$122,N128&lt;=$N$123,N128&lt;=$N$124,N128&lt;=$N$125,N128&lt;=$N$126,N128&lt;=$N$127,N128&lt;=$N$128,N128&lt;=$N$129,N128&lt;=$N$130,N128&lt;=$N$131,N128&lt;=$N$132,N128&lt;=$N$133,N128&lt;=$N$134,N128&lt;=$N$135,N128&lt;=$N$136,N128&lt;=$N$137,N128&lt;=$N$138,N128&lt;=$N$139,N128&lt;=$N$140,N128&lt;=$N$141,N128&lt;=$N$142,N128&lt;=$N$143)),CONCATENATE(P128,"&amp;"),""),"")</f>
      </c>
      <c r="N128" s="176" t="e">
        <f>IF((O128-'VIB SPEC SHEET'!$AL$85)&gt;0,O128-'VIB SPEC SHEET'!$AL$85,10^10)</f>
        <v>#VALUE!</v>
      </c>
      <c r="O128" s="231"/>
      <c r="P128" s="232"/>
      <c r="Q128" s="233"/>
      <c r="S128" s="180"/>
      <c r="T128" s="180"/>
      <c r="U128" s="190"/>
      <c r="V128" s="198"/>
    </row>
    <row r="129" spans="1:22" ht="15">
      <c r="A129" s="174">
        <f>IF('VIB SPEC SHEET'!$K$85="NEMA 12",IF(AND(C129&gt;'VIB SPEC SHEET'!$AL$85,AND(B129&lt;=$B$114,B129&lt;=$B$115,B129&lt;=$B$116,B129&lt;=$B$117,B129&lt;=$B$118,B129&lt;=$B$119,B129&lt;=$B$120,B129&lt;=$B$121,B129&lt;=$B$122,B129&lt;=$B$123,B129&lt;=$B$124,B129&lt;=$B$125,B129&lt;=$B$126,B129&lt;=$B$127,B129&lt;=$B$128,B129&lt;=$B$129,B129&lt;=$B$130,B129&lt;=$B$131,B129&lt;=$B$132,B129&lt;=$B$133,B129&lt;=$B$134,B129&lt;=$B$135,B129&lt;=$B$136,B129&lt;=$B$137,B129&lt;=$B$138,B129&lt;=$B$139,B129&lt;=$B$140,B129&lt;=$B$141,B129&lt;=$B$142,B129&lt;=$B$143)),CONCATENATE(D129,"&amp;"),""),"")</f>
      </c>
      <c r="B129" s="176" t="e">
        <f>IF((C129-'VIB SPEC SHEET'!$AL$85)&gt;0,C129-'VIB SPEC SHEET'!$AL$85,10^10)</f>
        <v>#VALUE!</v>
      </c>
      <c r="C129" s="231"/>
      <c r="D129" s="232"/>
      <c r="E129" s="233"/>
      <c r="F129" s="197"/>
      <c r="G129" s="174">
        <f>IF('VIB SPEC SHEET'!$K$85="NEMA 4",IF(AND(I129&gt;'VIB SPEC SHEET'!$AL$85,AND(H129&lt;=$H$114,H129&lt;=$H$115,H129&lt;=$H$116,H129&lt;=$H$117,H129&lt;=$H$118,H129&lt;=$H$119,H129&lt;=$H$120,H129&lt;=$H$121,H129&lt;=$H$122,H129&lt;=$H$123,H129&lt;=$H$124,H129&lt;=$H$125,H129&lt;=$H$126,H129&lt;=$H$127,H129&lt;=$H$128,H129&lt;=$H$129,H129&lt;=$H$130,H129&lt;=$H$131,H129&lt;=$H$132,H129&lt;=$H$133,H129&lt;=$H$134,H129&lt;=$H$135,H129&lt;=$H$136,H129&lt;=$H$137,H129&lt;=$H$138,H129&lt;=$H$139,H129&lt;=$H$140,H129&lt;=$H$141,H129&lt;=$H$142,H129&lt;=$H$143)),CONCATENATE(J129,"&amp;"),""),"")</f>
      </c>
      <c r="H129" s="176" t="e">
        <f>IF((I129-'VIB SPEC SHEET'!$AL$85)&gt;0,I129-'VIB SPEC SHEET'!$AL$85,10^10)</f>
        <v>#VALUE!</v>
      </c>
      <c r="I129" s="231"/>
      <c r="J129" s="232"/>
      <c r="K129" s="233"/>
      <c r="L129" s="197"/>
      <c r="M129" s="174">
        <f>IF('VIB SPEC SHEET'!$K$85="NEMA 4X SS",IF(AND(O129&gt;'VIB SPEC SHEET'!$AL$85,AND(N129&lt;=$N$114,N129&lt;=$N$115,N129&lt;=$N$116,N129&lt;=$N$117,N129&lt;=$N$118,N129&lt;=$N$119,N129&lt;=$N$120,N129&lt;=$N$121,N129&lt;=$N$122,N129&lt;=$N$123,N129&lt;=$N$124,N129&lt;=$N$125,N129&lt;=$N$126,N129&lt;=$N$127,N129&lt;=$N$128,N129&lt;=$N$129,N129&lt;=$N$130,N129&lt;=$N$131,N129&lt;=$N$132,N129&lt;=$N$133,N129&lt;=$N$134,N129&lt;=$N$135,N129&lt;=$N$136,N129&lt;=$N$137,N129&lt;=$N$138,N129&lt;=$N$139,N129&lt;=$N$140,N129&lt;=$N$141,N129&lt;=$N$142,N129&lt;=$N$143)),CONCATENATE(P129,"&amp;"),""),"")</f>
      </c>
      <c r="N129" s="176" t="e">
        <f>IF((O129-'VIB SPEC SHEET'!$AL$85)&gt;0,O129-'VIB SPEC SHEET'!$AL$85,10^10)</f>
        <v>#VALUE!</v>
      </c>
      <c r="O129" s="231"/>
      <c r="P129" s="232"/>
      <c r="Q129" s="233"/>
      <c r="S129" s="180"/>
      <c r="T129" s="180"/>
      <c r="U129" s="190"/>
      <c r="V129" s="198"/>
    </row>
    <row r="130" spans="1:22" ht="15">
      <c r="A130" s="174">
        <f>IF('VIB SPEC SHEET'!$K$85="NEMA 12",IF(AND(C130&gt;'VIB SPEC SHEET'!$AL$85,AND(B130&lt;=$B$114,B130&lt;=$B$115,B130&lt;=$B$116,B130&lt;=$B$117,B130&lt;=$B$118,B130&lt;=$B$119,B130&lt;=$B$120,B130&lt;=$B$121,B130&lt;=$B$122,B130&lt;=$B$123,B130&lt;=$B$124,B130&lt;=$B$125,B130&lt;=$B$126,B130&lt;=$B$127,B130&lt;=$B$128,B130&lt;=$B$129,B130&lt;=$B$130,B130&lt;=$B$131,B130&lt;=$B$132,B130&lt;=$B$133,B130&lt;=$B$134,B130&lt;=$B$135,B130&lt;=$B$136,B130&lt;=$B$137,B130&lt;=$B$138,B130&lt;=$B$139,B130&lt;=$B$140,B130&lt;=$B$141,B130&lt;=$B$142,B130&lt;=$B$143)),CONCATENATE(D130,"&amp;"),""),"")</f>
      </c>
      <c r="B130" s="176" t="e">
        <f>IF((C130-'VIB SPEC SHEET'!$AL$85)&gt;0,C130-'VIB SPEC SHEET'!$AL$85,10^10)</f>
        <v>#VALUE!</v>
      </c>
      <c r="C130" s="231"/>
      <c r="D130" s="232"/>
      <c r="E130" s="233"/>
      <c r="F130" s="197"/>
      <c r="G130" s="174">
        <f>IF('VIB SPEC SHEET'!$K$85="NEMA 4",IF(AND(I130&gt;'VIB SPEC SHEET'!$AL$85,AND(H130&lt;=$H$114,H130&lt;=$H$115,H130&lt;=$H$116,H130&lt;=$H$117,H130&lt;=$H$118,H130&lt;=$H$119,H130&lt;=$H$120,H130&lt;=$H$121,H130&lt;=$H$122,H130&lt;=$H$123,H130&lt;=$H$124,H130&lt;=$H$125,H130&lt;=$H$126,H130&lt;=$H$127,H130&lt;=$H$128,H130&lt;=$H$129,H130&lt;=$H$130,H130&lt;=$H$131,H130&lt;=$H$132,H130&lt;=$H$133,H130&lt;=$H$134,H130&lt;=$H$135,H130&lt;=$H$136,H130&lt;=$H$137,H130&lt;=$H$138,H130&lt;=$H$139,H130&lt;=$H$140,H130&lt;=$H$141,H130&lt;=$H$142,H130&lt;=$H$143)),CONCATENATE(J130,"&amp;"),""),"")</f>
      </c>
      <c r="H130" s="176" t="e">
        <f>IF((I130-'VIB SPEC SHEET'!$AL$85)&gt;0,I130-'VIB SPEC SHEET'!$AL$85,10^10)</f>
        <v>#VALUE!</v>
      </c>
      <c r="I130" s="231"/>
      <c r="J130" s="232"/>
      <c r="K130" s="233"/>
      <c r="L130" s="197"/>
      <c r="M130" s="174">
        <f>IF('VIB SPEC SHEET'!$K$85="NEMA 4X SS",IF(AND(O130&gt;'VIB SPEC SHEET'!$AL$85,AND(N130&lt;=$N$114,N130&lt;=$N$115,N130&lt;=$N$116,N130&lt;=$N$117,N130&lt;=$N$118,N130&lt;=$N$119,N130&lt;=$N$120,N130&lt;=$N$121,N130&lt;=$N$122,N130&lt;=$N$123,N130&lt;=$N$124,N130&lt;=$N$125,N130&lt;=$N$126,N130&lt;=$N$127,N130&lt;=$N$128,N130&lt;=$N$129,N130&lt;=$N$130,N130&lt;=$N$131,N130&lt;=$N$132,N130&lt;=$N$133,N130&lt;=$N$134,N130&lt;=$N$135,N130&lt;=$N$136,N130&lt;=$N$137,N130&lt;=$N$138,N130&lt;=$N$139,N130&lt;=$N$140,N130&lt;=$N$141,N130&lt;=$N$142,N130&lt;=$N$143)),CONCATENATE(P130,"&amp;"),""),"")</f>
      </c>
      <c r="N130" s="176" t="e">
        <f>IF((O130-'VIB SPEC SHEET'!$AL$85)&gt;0,O130-'VIB SPEC SHEET'!$AL$85,10^10)</f>
        <v>#VALUE!</v>
      </c>
      <c r="O130" s="231"/>
      <c r="P130" s="232"/>
      <c r="Q130" s="233"/>
      <c r="S130" s="180"/>
      <c r="T130" s="180"/>
      <c r="U130" s="190"/>
      <c r="V130" s="198"/>
    </row>
    <row r="131" spans="1:22" ht="15">
      <c r="A131" s="174">
        <f>IF('VIB SPEC SHEET'!$K$85="NEMA 12",IF(AND(C131&gt;'VIB SPEC SHEET'!$AL$85,AND(B131&lt;=$B$114,B131&lt;=$B$115,B131&lt;=$B$116,B131&lt;=$B$117,B131&lt;=$B$118,B131&lt;=$B$119,B131&lt;=$B$120,B131&lt;=$B$121,B131&lt;=$B$122,B131&lt;=$B$123,B131&lt;=$B$124,B131&lt;=$B$125,B131&lt;=$B$126,B131&lt;=$B$127,B131&lt;=$B$128,B131&lt;=$B$129,B131&lt;=$B$130,B131&lt;=$B$131,B131&lt;=$B$132,B131&lt;=$B$133,B131&lt;=$B$134,B131&lt;=$B$135,B131&lt;=$B$136,B131&lt;=$B$137,B131&lt;=$B$138,B131&lt;=$B$139,B131&lt;=$B$140,B131&lt;=$B$141,B131&lt;=$B$142,B131&lt;=$B$143)),CONCATENATE(D131,"&amp;"),""),"")</f>
      </c>
      <c r="B131" s="176" t="e">
        <f>IF((C131-'VIB SPEC SHEET'!$AL$85)&gt;0,C131-'VIB SPEC SHEET'!$AL$85,10^10)</f>
        <v>#VALUE!</v>
      </c>
      <c r="C131" s="231"/>
      <c r="D131" s="232"/>
      <c r="E131" s="233"/>
      <c r="F131" s="197"/>
      <c r="G131" s="174">
        <f>IF('VIB SPEC SHEET'!$K$85="NEMA 4",IF(AND(I131&gt;'VIB SPEC SHEET'!$AL$85,AND(H131&lt;=$H$114,H131&lt;=$H$115,H131&lt;=$H$116,H131&lt;=$H$117,H131&lt;=$H$118,H131&lt;=$H$119,H131&lt;=$H$120,H131&lt;=$H$121,H131&lt;=$H$122,H131&lt;=$H$123,H131&lt;=$H$124,H131&lt;=$H$125,H131&lt;=$H$126,H131&lt;=$H$127,H131&lt;=$H$128,H131&lt;=$H$129,H131&lt;=$H$130,H131&lt;=$H$131,H131&lt;=$H$132,H131&lt;=$H$133,H131&lt;=$H$134,H131&lt;=$H$135,H131&lt;=$H$136,H131&lt;=$H$137,H131&lt;=$H$138,H131&lt;=$H$139,H131&lt;=$H$140,H131&lt;=$H$141,H131&lt;=$H$142,H131&lt;=$H$143)),CONCATENATE(J131,"&amp;"),""),"")</f>
      </c>
      <c r="H131" s="176" t="e">
        <f>IF((I131-'VIB SPEC SHEET'!$AL$85)&gt;0,I131-'VIB SPEC SHEET'!$AL$85,10^10)</f>
        <v>#VALUE!</v>
      </c>
      <c r="I131" s="231"/>
      <c r="J131" s="232"/>
      <c r="K131" s="233"/>
      <c r="L131" s="197"/>
      <c r="M131" s="174">
        <f>IF('VIB SPEC SHEET'!$K$85="NEMA 4X SS",IF(AND(O131&gt;'VIB SPEC SHEET'!$AL$85,AND(N131&lt;=$N$114,N131&lt;=$N$115,N131&lt;=$N$116,N131&lt;=$N$117,N131&lt;=$N$118,N131&lt;=$N$119,N131&lt;=$N$120,N131&lt;=$N$121,N131&lt;=$N$122,N131&lt;=$N$123,N131&lt;=$N$124,N131&lt;=$N$125,N131&lt;=$N$126,N131&lt;=$N$127,N131&lt;=$N$128,N131&lt;=$N$129,N131&lt;=$N$130,N131&lt;=$N$131,N131&lt;=$N$132,N131&lt;=$N$133,N131&lt;=$N$134,N131&lt;=$N$135,N131&lt;=$N$136,N131&lt;=$N$137,N131&lt;=$N$138,N131&lt;=$N$139,N131&lt;=$N$140,N131&lt;=$N$141,N131&lt;=$N$142,N131&lt;=$N$143)),CONCATENATE(P131,"&amp;"),""),"")</f>
      </c>
      <c r="N131" s="176" t="e">
        <f>IF((O131-'VIB SPEC SHEET'!$AL$85)&gt;0,O131-'VIB SPEC SHEET'!$AL$85,10^10)</f>
        <v>#VALUE!</v>
      </c>
      <c r="O131" s="231"/>
      <c r="P131" s="232"/>
      <c r="Q131" s="233"/>
      <c r="S131" s="180"/>
      <c r="T131" s="180"/>
      <c r="U131" s="190"/>
      <c r="V131" s="198"/>
    </row>
    <row r="132" spans="1:22" ht="15">
      <c r="A132" s="174">
        <f>IF('VIB SPEC SHEET'!$K$85="NEMA 12",IF(AND(C132&gt;'VIB SPEC SHEET'!$AL$85,AND(B132&lt;=$B$114,B132&lt;=$B$115,B132&lt;=$B$116,B132&lt;=$B$117,B132&lt;=$B$118,B132&lt;=$B$119,B132&lt;=$B$120,B132&lt;=$B$121,B132&lt;=$B$122,B132&lt;=$B$123,B132&lt;=$B$124,B132&lt;=$B$125,B132&lt;=$B$126,B132&lt;=$B$127,B132&lt;=$B$128,B132&lt;=$B$129,B132&lt;=$B$130,B132&lt;=$B$131,B132&lt;=$B$132,B132&lt;=$B$133,B132&lt;=$B$134,B132&lt;=$B$135,B132&lt;=$B$136,B132&lt;=$B$137,B132&lt;=$B$138,B132&lt;=$B$139,B132&lt;=$B$140,B132&lt;=$B$141,B132&lt;=$B$142,B132&lt;=$B$143)),CONCATENATE(D132,"&amp;"),""),"")</f>
      </c>
      <c r="B132" s="176" t="e">
        <f>IF((C132-'VIB SPEC SHEET'!$AL$85)&gt;0,C132-'VIB SPEC SHEET'!$AL$85,10^10)</f>
        <v>#VALUE!</v>
      </c>
      <c r="C132" s="231">
        <v>17.5</v>
      </c>
      <c r="D132" s="232" t="s">
        <v>192</v>
      </c>
      <c r="E132" s="233">
        <v>132841</v>
      </c>
      <c r="F132" s="197"/>
      <c r="G132" s="174">
        <f>IF('VIB SPEC SHEET'!$K$85="NEMA 4",IF(AND(I132&gt;'VIB SPEC SHEET'!$AL$85,AND(H132&lt;=$H$114,H132&lt;=$H$115,H132&lt;=$H$116,H132&lt;=$H$117,H132&lt;=$H$118,H132&lt;=$H$119,H132&lt;=$H$120,H132&lt;=$H$121,H132&lt;=$H$122,H132&lt;=$H$123,H132&lt;=$H$124,H132&lt;=$H$125,H132&lt;=$H$126,H132&lt;=$H$127,H132&lt;=$H$128,H132&lt;=$H$129,H132&lt;=$H$130,H132&lt;=$H$131,H132&lt;=$H$132,H132&lt;=$H$133,H132&lt;=$H$134,H132&lt;=$H$135,H132&lt;=$H$136,H132&lt;=$H$137,H132&lt;=$H$138,H132&lt;=$H$139,H132&lt;=$H$140,H132&lt;=$H$141,H132&lt;=$H$142,H132&lt;=$H$143)),CONCATENATE(J132,"&amp;"),""),"")</f>
      </c>
      <c r="H132" s="176" t="e">
        <f>IF((I132-'VIB SPEC SHEET'!$AL$85)&gt;0,I132-'VIB SPEC SHEET'!$AL$85,10^10)</f>
        <v>#VALUE!</v>
      </c>
      <c r="I132" s="231"/>
      <c r="J132" s="232"/>
      <c r="K132" s="233"/>
      <c r="L132" s="197"/>
      <c r="M132" s="174">
        <f>IF('VIB SPEC SHEET'!$K$85="NEMA 4X SS",IF(AND(O132&gt;'VIB SPEC SHEET'!$AL$85,AND(N132&lt;=$N$114,N132&lt;=$N$115,N132&lt;=$N$116,N132&lt;=$N$117,N132&lt;=$N$118,N132&lt;=$N$119,N132&lt;=$N$120,N132&lt;=$N$121,N132&lt;=$N$122,N132&lt;=$N$123,N132&lt;=$N$124,N132&lt;=$N$125,N132&lt;=$N$126,N132&lt;=$N$127,N132&lt;=$N$128,N132&lt;=$N$129,N132&lt;=$N$130,N132&lt;=$N$131,N132&lt;=$N$132,N132&lt;=$N$133,N132&lt;=$N$134,N132&lt;=$N$135,N132&lt;=$N$136,N132&lt;=$N$137,N132&lt;=$N$138,N132&lt;=$N$139,N132&lt;=$N$140,N132&lt;=$N$141,N132&lt;=$N$142,N132&lt;=$N$143)),CONCATENATE(P132,"&amp;"),""),"")</f>
      </c>
      <c r="N132" s="176" t="e">
        <f>IF((O132-'VIB SPEC SHEET'!$AL$85)&gt;0,O132-'VIB SPEC SHEET'!$AL$85,10^10)</f>
        <v>#VALUE!</v>
      </c>
      <c r="O132" s="231"/>
      <c r="P132" s="232"/>
      <c r="Q132" s="233"/>
      <c r="S132" s="180"/>
      <c r="T132" s="180"/>
      <c r="U132" s="190"/>
      <c r="V132" s="198"/>
    </row>
    <row r="133" spans="1:22" ht="15">
      <c r="A133" s="174">
        <f>IF('VIB SPEC SHEET'!$K$85="NEMA 12",IF(AND(C133&gt;'VIB SPEC SHEET'!$AL$85,AND(B133&lt;=$B$114,B133&lt;=$B$115,B133&lt;=$B$116,B133&lt;=$B$117,B133&lt;=$B$118,B133&lt;=$B$119,B133&lt;=$B$120,B133&lt;=$B$121,B133&lt;=$B$122,B133&lt;=$B$123,B133&lt;=$B$124,B133&lt;=$B$125,B133&lt;=$B$126,B133&lt;=$B$127,B133&lt;=$B$128,B133&lt;=$B$129,B133&lt;=$B$130,B133&lt;=$B$131,B133&lt;=$B$132,B133&lt;=$B$133,B133&lt;=$B$134,B133&lt;=$B$135,B133&lt;=$B$136,B133&lt;=$B$137,B133&lt;=$B$138,B133&lt;=$B$139,B133&lt;=$B$140,B133&lt;=$B$141,B133&lt;=$B$142,B133&lt;=$B$143)),CONCATENATE(D133,"&amp;"),""),"")</f>
      </c>
      <c r="B133" s="176" t="e">
        <f>IF((C133-'VIB SPEC SHEET'!$AL$85)&gt;0,C133-'VIB SPEC SHEET'!$AL$85,10^10)</f>
        <v>#VALUE!</v>
      </c>
      <c r="C133" s="231">
        <v>17.5</v>
      </c>
      <c r="D133" s="232" t="s">
        <v>168</v>
      </c>
      <c r="E133" s="233">
        <v>132845</v>
      </c>
      <c r="F133" s="197"/>
      <c r="G133" s="174">
        <f>IF('VIB SPEC SHEET'!$K$85="NEMA 4",IF(AND(I133&gt;'VIB SPEC SHEET'!$AL$85,AND(H133&lt;=$H$114,H133&lt;=$H$115,H133&lt;=$H$116,H133&lt;=$H$117,H133&lt;=$H$118,H133&lt;=$H$119,H133&lt;=$H$120,H133&lt;=$H$121,H133&lt;=$H$122,H133&lt;=$H$123,H133&lt;=$H$124,H133&lt;=$H$125,H133&lt;=$H$126,H133&lt;=$H$127,H133&lt;=$H$128,H133&lt;=$H$129,H133&lt;=$H$130,H133&lt;=$H$131,H133&lt;=$H$132,H133&lt;=$H$133,H133&lt;=$H$134,H133&lt;=$H$135,H133&lt;=$H$136,H133&lt;=$H$137,H133&lt;=$H$138,H133&lt;=$H$139,H133&lt;=$H$140,H133&lt;=$H$141,H133&lt;=$H$142,H133&lt;=$H$143)),CONCATENATE(J133,"&amp;"),""),"")</f>
      </c>
      <c r="H133" s="176" t="e">
        <f>IF((I133-'VIB SPEC SHEET'!$AL$85)&gt;0,I133-'VIB SPEC SHEET'!$AL$85,10^10)</f>
        <v>#VALUE!</v>
      </c>
      <c r="I133" s="231"/>
      <c r="J133" s="232"/>
      <c r="K133" s="233"/>
      <c r="L133" s="197"/>
      <c r="M133" s="174">
        <f>IF('VIB SPEC SHEET'!$K$85="NEMA 4X SS",IF(AND(O133&gt;'VIB SPEC SHEET'!$AL$85,AND(N133&lt;=$N$114,N133&lt;=$N$115,N133&lt;=$N$116,N133&lt;=$N$117,N133&lt;=$N$118,N133&lt;=$N$119,N133&lt;=$N$120,N133&lt;=$N$121,N133&lt;=$N$122,N133&lt;=$N$123,N133&lt;=$N$124,N133&lt;=$N$125,N133&lt;=$N$126,N133&lt;=$N$127,N133&lt;=$N$128,N133&lt;=$N$129,N133&lt;=$N$130,N133&lt;=$N$131,N133&lt;=$N$132,N133&lt;=$N$133,N133&lt;=$N$134,N133&lt;=$N$135,N133&lt;=$N$136,N133&lt;=$N$137,N133&lt;=$N$138,N133&lt;=$N$139,N133&lt;=$N$140,N133&lt;=$N$141,N133&lt;=$N$142,N133&lt;=$N$143)),CONCATENATE(P133,"&amp;"),""),"")</f>
      </c>
      <c r="N133" s="176" t="e">
        <f>IF((O133-'VIB SPEC SHEET'!$AL$85)&gt;0,O133-'VIB SPEC SHEET'!$AL$85,10^10)</f>
        <v>#VALUE!</v>
      </c>
      <c r="O133" s="231"/>
      <c r="P133" s="232"/>
      <c r="Q133" s="233"/>
      <c r="S133" s="180"/>
      <c r="T133" s="180"/>
      <c r="U133" s="190"/>
      <c r="V133" s="198"/>
    </row>
    <row r="134" spans="1:22" ht="15">
      <c r="A134" s="174">
        <f>IF('VIB SPEC SHEET'!$K$85="NEMA 12",IF(AND(C134&gt;'VIB SPEC SHEET'!$AL$85,AND(B134&lt;=$B$114,B134&lt;=$B$115,B134&lt;=$B$116,B134&lt;=$B$117,B134&lt;=$B$118,B134&lt;=$B$119,B134&lt;=$B$120,B134&lt;=$B$121,B134&lt;=$B$122,B134&lt;=$B$123,B134&lt;=$B$124,B134&lt;=$B$125,B134&lt;=$B$126,B134&lt;=$B$127,B134&lt;=$B$128,B134&lt;=$B$129,B134&lt;=$B$130,B134&lt;=$B$131,B134&lt;=$B$132,B134&lt;=$B$133,B134&lt;=$B$134,B134&lt;=$B$135,B134&lt;=$B$136,B134&lt;=$B$137,B134&lt;=$B$138,B134&lt;=$B$139,B134&lt;=$B$140,B134&lt;=$B$141,B134&lt;=$B$142,B134&lt;=$B$143)),CONCATENATE(D134,"&amp;"),""),"")</f>
      </c>
      <c r="B134" s="176" t="e">
        <f>IF((C134-'VIB SPEC SHEET'!$AL$85)&gt;0,C134-'VIB SPEC SHEET'!$AL$85,10^10)</f>
        <v>#VALUE!</v>
      </c>
      <c r="C134" s="231"/>
      <c r="D134" s="232"/>
      <c r="E134" s="233"/>
      <c r="F134" s="197"/>
      <c r="G134" s="174">
        <f>IF('VIB SPEC SHEET'!$K$85="NEMA 4",IF(AND(I134&gt;'VIB SPEC SHEET'!$AL$85,AND(H134&lt;=$H$114,H134&lt;=$H$115,H134&lt;=$H$116,H134&lt;=$H$117,H134&lt;=$H$118,H134&lt;=$H$119,H134&lt;=$H$120,H134&lt;=$H$121,H134&lt;=$H$122,H134&lt;=$H$123,H134&lt;=$H$124,H134&lt;=$H$125,H134&lt;=$H$126,H134&lt;=$H$127,H134&lt;=$H$128,H134&lt;=$H$129,H134&lt;=$H$130,H134&lt;=$H$131,H134&lt;=$H$132,H134&lt;=$H$133,H134&lt;=$H$134,H134&lt;=$H$135,H134&lt;=$H$136,H134&lt;=$H$137,H134&lt;=$H$138,H134&lt;=$H$139,H134&lt;=$H$140,H134&lt;=$H$141,H134&lt;=$H$142,H134&lt;=$H$143)),CONCATENATE(J134,"&amp;"),""),"")</f>
      </c>
      <c r="H134" s="176" t="e">
        <f>IF((I134-'VIB SPEC SHEET'!$AL$85)&gt;0,I134-'VIB SPEC SHEET'!$AL$85,10^10)</f>
        <v>#VALUE!</v>
      </c>
      <c r="I134" s="231"/>
      <c r="J134" s="232"/>
      <c r="K134" s="233"/>
      <c r="L134" s="197"/>
      <c r="M134" s="174">
        <f>IF('VIB SPEC SHEET'!$K$85="NEMA 4X SS",IF(AND(O134&gt;'VIB SPEC SHEET'!$AL$85,AND(N134&lt;=$N$114,N134&lt;=$N$115,N134&lt;=$N$116,N134&lt;=$N$117,N134&lt;=$N$118,N134&lt;=$N$119,N134&lt;=$N$120,N134&lt;=$N$121,N134&lt;=$N$122,N134&lt;=$N$123,N134&lt;=$N$124,N134&lt;=$N$125,N134&lt;=$N$126,N134&lt;=$N$127,N134&lt;=$N$128,N134&lt;=$N$129,N134&lt;=$N$130,N134&lt;=$N$131,N134&lt;=$N$132,N134&lt;=$N$133,N134&lt;=$N$134,N134&lt;=$N$135,N134&lt;=$N$136,N134&lt;=$N$137,N134&lt;=$N$138,N134&lt;=$N$139,N134&lt;=$N$140,N134&lt;=$N$141,N134&lt;=$N$142,N134&lt;=$N$143)),CONCATENATE(P134,"&amp;"),""),"")</f>
      </c>
      <c r="N134" s="176" t="e">
        <f>IF((O134-'VIB SPEC SHEET'!$AL$85)&gt;0,O134-'VIB SPEC SHEET'!$AL$85,10^10)</f>
        <v>#VALUE!</v>
      </c>
      <c r="O134" s="231"/>
      <c r="P134" s="232"/>
      <c r="Q134" s="233"/>
      <c r="S134" s="180"/>
      <c r="T134" s="180"/>
      <c r="U134" s="190"/>
      <c r="V134" s="198"/>
    </row>
    <row r="135" spans="1:22" ht="15">
      <c r="A135" s="174">
        <f>IF('VIB SPEC SHEET'!$K$85="NEMA 12",IF(AND(C135&gt;'VIB SPEC SHEET'!$AL$85,AND(B135&lt;=$B$114,B135&lt;=$B$115,B135&lt;=$B$116,B135&lt;=$B$117,B135&lt;=$B$118,B135&lt;=$B$119,B135&lt;=$B$120,B135&lt;=$B$121,B135&lt;=$B$122,B135&lt;=$B$123,B135&lt;=$B$124,B135&lt;=$B$125,B135&lt;=$B$126,B135&lt;=$B$127,B135&lt;=$B$128,B135&lt;=$B$129,B135&lt;=$B$130,B135&lt;=$B$131,B135&lt;=$B$132,B135&lt;=$B$133,B135&lt;=$B$134,B135&lt;=$B$135,B135&lt;=$B$136,B135&lt;=$B$137,B135&lt;=$B$138,B135&lt;=$B$139,B135&lt;=$B$140,B135&lt;=$B$141,B135&lt;=$B$142,B135&lt;=$B$143)),CONCATENATE(D135,"&amp;"),""),"")</f>
      </c>
      <c r="B135" s="176" t="e">
        <f>IF((C135-'VIB SPEC SHEET'!$AL$85)&gt;0,C135-'VIB SPEC SHEET'!$AL$85,10^10)</f>
        <v>#VALUE!</v>
      </c>
      <c r="C135" s="231"/>
      <c r="D135" s="232"/>
      <c r="E135" s="233"/>
      <c r="F135" s="197"/>
      <c r="G135" s="174">
        <f>IF('VIB SPEC SHEET'!$K$85="NEMA 4",IF(AND(I135&gt;'VIB SPEC SHEET'!$AL$85,AND(H135&lt;=$H$114,H135&lt;=$H$115,H135&lt;=$H$116,H135&lt;=$H$117,H135&lt;=$H$118,H135&lt;=$H$119,H135&lt;=$H$120,H135&lt;=$H$121,H135&lt;=$H$122,H135&lt;=$H$123,H135&lt;=$H$124,H135&lt;=$H$125,H135&lt;=$H$126,H135&lt;=$H$127,H135&lt;=$H$128,H135&lt;=$H$129,H135&lt;=$H$130,H135&lt;=$H$131,H135&lt;=$H$132,H135&lt;=$H$133,H135&lt;=$H$134,H135&lt;=$H$135,H135&lt;=$H$136,H135&lt;=$H$137,H135&lt;=$H$138,H135&lt;=$H$139,H135&lt;=$H$140,H135&lt;=$H$141,H135&lt;=$H$142,H135&lt;=$H$143)),CONCATENATE(J135,"&amp;"),""),"")</f>
      </c>
      <c r="H135" s="176" t="e">
        <f>IF((I135-'VIB SPEC SHEET'!$AL$85)&gt;0,I135-'VIB SPEC SHEET'!$AL$85,10^10)</f>
        <v>#VALUE!</v>
      </c>
      <c r="I135" s="231"/>
      <c r="J135" s="232"/>
      <c r="K135" s="233"/>
      <c r="L135" s="197"/>
      <c r="M135" s="174">
        <f>IF('VIB SPEC SHEET'!$K$85="NEMA 4X SS",IF(AND(O135&gt;'VIB SPEC SHEET'!$AL$85,AND(N135&lt;=$N$114,N135&lt;=$N$115,N135&lt;=$N$116,N135&lt;=$N$117,N135&lt;=$N$118,N135&lt;=$N$119,N135&lt;=$N$120,N135&lt;=$N$121,N135&lt;=$N$122,N135&lt;=$N$123,N135&lt;=$N$124,N135&lt;=$N$125,N135&lt;=$N$126,N135&lt;=$N$127,N135&lt;=$N$128,N135&lt;=$N$129,N135&lt;=$N$130,N135&lt;=$N$131,N135&lt;=$N$132,N135&lt;=$N$133,N135&lt;=$N$134,N135&lt;=$N$135,N135&lt;=$N$136,N135&lt;=$N$137,N135&lt;=$N$138,N135&lt;=$N$139,N135&lt;=$N$140,N135&lt;=$N$141,N135&lt;=$N$142,N135&lt;=$N$143)),CONCATENATE(P135,"&amp;"),""),"")</f>
      </c>
      <c r="N135" s="176" t="e">
        <f>IF((O135-'VIB SPEC SHEET'!$AL$85)&gt;0,O135-'VIB SPEC SHEET'!$AL$85,10^10)</f>
        <v>#VALUE!</v>
      </c>
      <c r="O135" s="231"/>
      <c r="P135" s="232"/>
      <c r="Q135" s="233"/>
      <c r="S135" s="180"/>
      <c r="T135" s="180"/>
      <c r="U135" s="190"/>
      <c r="V135" s="198"/>
    </row>
    <row r="136" spans="1:22" ht="15">
      <c r="A136" s="174">
        <f>IF('VIB SPEC SHEET'!$K$85="NEMA 12",IF(AND(C136&gt;'VIB SPEC SHEET'!$AL$85,AND(B136&lt;=$B$114,B136&lt;=$B$115,B136&lt;=$B$116,B136&lt;=$B$117,B136&lt;=$B$118,B136&lt;=$B$119,B136&lt;=$B$120,B136&lt;=$B$121,B136&lt;=$B$122,B136&lt;=$B$123,B136&lt;=$B$124,B136&lt;=$B$125,B136&lt;=$B$126,B136&lt;=$B$127,B136&lt;=$B$128,B136&lt;=$B$129,B136&lt;=$B$130,B136&lt;=$B$131,B136&lt;=$B$132,B136&lt;=$B$133,B136&lt;=$B$134,B136&lt;=$B$135,B136&lt;=$B$136,B136&lt;=$B$137,B136&lt;=$B$138,B136&lt;=$B$139,B136&lt;=$B$140,B136&lt;=$B$141,B136&lt;=$B$142,B136&lt;=$B$143)),CONCATENATE(D136,"&amp;"),""),"")</f>
      </c>
      <c r="B136" s="176" t="e">
        <f>IF((C136-'VIB SPEC SHEET'!$AL$85)&gt;0,C136-'VIB SPEC SHEET'!$AL$85,10^10)</f>
        <v>#VALUE!</v>
      </c>
      <c r="C136" s="231"/>
      <c r="D136" s="232"/>
      <c r="E136" s="233"/>
      <c r="F136" s="197"/>
      <c r="G136" s="174">
        <f>IF('VIB SPEC SHEET'!$K$85="NEMA 4",IF(AND(I136&gt;'VIB SPEC SHEET'!$AL$85,AND(H136&lt;=$H$114,H136&lt;=$H$115,H136&lt;=$H$116,H136&lt;=$H$117,H136&lt;=$H$118,H136&lt;=$H$119,H136&lt;=$H$120,H136&lt;=$H$121,H136&lt;=$H$122,H136&lt;=$H$123,H136&lt;=$H$124,H136&lt;=$H$125,H136&lt;=$H$126,H136&lt;=$H$127,H136&lt;=$H$128,H136&lt;=$H$129,H136&lt;=$H$130,H136&lt;=$H$131,H136&lt;=$H$132,H136&lt;=$H$133,H136&lt;=$H$134,H136&lt;=$H$135,H136&lt;=$H$136,H136&lt;=$H$137,H136&lt;=$H$138,H136&lt;=$H$139,H136&lt;=$H$140,H136&lt;=$H$141,H136&lt;=$H$142,H136&lt;=$H$143)),CONCATENATE(J136,"&amp;"),""),"")</f>
      </c>
      <c r="H136" s="176" t="e">
        <f>IF((I136-'VIB SPEC SHEET'!$AL$85)&gt;0,I136-'VIB SPEC SHEET'!$AL$85,10^10)</f>
        <v>#VALUE!</v>
      </c>
      <c r="I136" s="231"/>
      <c r="J136" s="232"/>
      <c r="K136" s="233"/>
      <c r="L136" s="197"/>
      <c r="M136" s="174">
        <f>IF('VIB SPEC SHEET'!$K$85="NEMA 4X SS",IF(AND(O136&gt;'VIB SPEC SHEET'!$AL$85,AND(N136&lt;=$N$114,N136&lt;=$N$115,N136&lt;=$N$116,N136&lt;=$N$117,N136&lt;=$N$118,N136&lt;=$N$119,N136&lt;=$N$120,N136&lt;=$N$121,N136&lt;=$N$122,N136&lt;=$N$123,N136&lt;=$N$124,N136&lt;=$N$125,N136&lt;=$N$126,N136&lt;=$N$127,N136&lt;=$N$128,N136&lt;=$N$129,N136&lt;=$N$130,N136&lt;=$N$131,N136&lt;=$N$132,N136&lt;=$N$133,N136&lt;=$N$134,N136&lt;=$N$135,N136&lt;=$N$136,N136&lt;=$N$137,N136&lt;=$N$138,N136&lt;=$N$139,N136&lt;=$N$140,N136&lt;=$N$141,N136&lt;=$N$142,N136&lt;=$N$143)),CONCATENATE(P136,"&amp;"),""),"")</f>
      </c>
      <c r="N136" s="176" t="e">
        <f>IF((O136-'VIB SPEC SHEET'!$AL$85)&gt;0,O136-'VIB SPEC SHEET'!$AL$85,10^10)</f>
        <v>#VALUE!</v>
      </c>
      <c r="O136" s="231"/>
      <c r="P136" s="232"/>
      <c r="Q136" s="233"/>
      <c r="S136" s="180"/>
      <c r="T136" s="180"/>
      <c r="U136" s="190"/>
      <c r="V136" s="198"/>
    </row>
    <row r="137" spans="1:22" ht="15">
      <c r="A137" s="174">
        <f>IF('VIB SPEC SHEET'!$K$85="NEMA 12",IF(AND(C137&gt;'VIB SPEC SHEET'!$AL$85,AND(B137&lt;=$B$114,B137&lt;=$B$115,B137&lt;=$B$116,B137&lt;=$B$117,B137&lt;=$B$118,B137&lt;=$B$119,B137&lt;=$B$120,B137&lt;=$B$121,B137&lt;=$B$122,B137&lt;=$B$123,B137&lt;=$B$124,B137&lt;=$B$125,B137&lt;=$B$126,B137&lt;=$B$127,B137&lt;=$B$128,B137&lt;=$B$129,B137&lt;=$B$130,B137&lt;=$B$131,B137&lt;=$B$132,B137&lt;=$B$133,B137&lt;=$B$134,B137&lt;=$B$135,B137&lt;=$B$136,B137&lt;=$B$137,B137&lt;=$B$138,B137&lt;=$B$139,B137&lt;=$B$140,B137&lt;=$B$141,B137&lt;=$B$142,B137&lt;=$B$143)),CONCATENATE(D137,"&amp;"),""),"")</f>
      </c>
      <c r="B137" s="176" t="e">
        <f>IF((C137-'VIB SPEC SHEET'!$AL$85)&gt;0,C137-'VIB SPEC SHEET'!$AL$85,10^10)</f>
        <v>#VALUE!</v>
      </c>
      <c r="C137" s="231"/>
      <c r="D137" s="232"/>
      <c r="E137" s="233"/>
      <c r="F137" s="197"/>
      <c r="G137" s="174">
        <f>IF('VIB SPEC SHEET'!$K$85="NEMA 4",IF(AND(I137&gt;'VIB SPEC SHEET'!$AL$85,AND(H137&lt;=$H$114,H137&lt;=$H$115,H137&lt;=$H$116,H137&lt;=$H$117,H137&lt;=$H$118,H137&lt;=$H$119,H137&lt;=$H$120,H137&lt;=$H$121,H137&lt;=$H$122,H137&lt;=$H$123,H137&lt;=$H$124,H137&lt;=$H$125,H137&lt;=$H$126,H137&lt;=$H$127,H137&lt;=$H$128,H137&lt;=$H$129,H137&lt;=$H$130,H137&lt;=$H$131,H137&lt;=$H$132,H137&lt;=$H$133,H137&lt;=$H$134,H137&lt;=$H$135,H137&lt;=$H$136,H137&lt;=$H$137,H137&lt;=$H$138,H137&lt;=$H$139,H137&lt;=$H$140,H137&lt;=$H$141,H137&lt;=$H$142,H137&lt;=$H$143)),CONCATENATE(J137,"&amp;"),""),"")</f>
      </c>
      <c r="H137" s="176" t="e">
        <f>IF((I137-'VIB SPEC SHEET'!$AL$85)&gt;0,I137-'VIB SPEC SHEET'!$AL$85,10^10)</f>
        <v>#VALUE!</v>
      </c>
      <c r="I137" s="231"/>
      <c r="J137" s="232"/>
      <c r="K137" s="233"/>
      <c r="L137" s="197"/>
      <c r="M137" s="174">
        <f>IF('VIB SPEC SHEET'!$K$85="NEMA 4X SS",IF(AND(O137&gt;'VIB SPEC SHEET'!$AL$85,AND(N137&lt;=$N$114,N137&lt;=$N$115,N137&lt;=$N$116,N137&lt;=$N$117,N137&lt;=$N$118,N137&lt;=$N$119,N137&lt;=$N$120,N137&lt;=$N$121,N137&lt;=$N$122,N137&lt;=$N$123,N137&lt;=$N$124,N137&lt;=$N$125,N137&lt;=$N$126,N137&lt;=$N$127,N137&lt;=$N$128,N137&lt;=$N$129,N137&lt;=$N$130,N137&lt;=$N$131,N137&lt;=$N$132,N137&lt;=$N$133,N137&lt;=$N$134,N137&lt;=$N$135,N137&lt;=$N$136,N137&lt;=$N$137,N137&lt;=$N$138,N137&lt;=$N$139,N137&lt;=$N$140,N137&lt;=$N$141,N137&lt;=$N$142,N137&lt;=$N$143)),CONCATENATE(P137,"&amp;"),""),"")</f>
      </c>
      <c r="N137" s="176" t="e">
        <f>IF((O137-'VIB SPEC SHEET'!$AL$85)&gt;0,O137-'VIB SPEC SHEET'!$AL$85,10^10)</f>
        <v>#VALUE!</v>
      </c>
      <c r="O137" s="231"/>
      <c r="P137" s="232"/>
      <c r="Q137" s="233"/>
      <c r="S137" s="180"/>
      <c r="T137" s="180"/>
      <c r="U137" s="190"/>
      <c r="V137" s="198"/>
    </row>
    <row r="138" spans="1:22" ht="15">
      <c r="A138" s="174">
        <f>IF('VIB SPEC SHEET'!$K$85="NEMA 12",IF(AND(C138&gt;'VIB SPEC SHEET'!$AL$85,AND(B138&lt;=$B$114,B138&lt;=$B$115,B138&lt;=$B$116,B138&lt;=$B$117,B138&lt;=$B$118,B138&lt;=$B$119,B138&lt;=$B$120,B138&lt;=$B$121,B138&lt;=$B$122,B138&lt;=$B$123,B138&lt;=$B$124,B138&lt;=$B$125,B138&lt;=$B$126,B138&lt;=$B$127,B138&lt;=$B$128,B138&lt;=$B$129,B138&lt;=$B$130,B138&lt;=$B$131,B138&lt;=$B$132,B138&lt;=$B$133,B138&lt;=$B$134,B138&lt;=$B$135,B138&lt;=$B$136,B138&lt;=$B$137,B138&lt;=$B$138,B138&lt;=$B$139,B138&lt;=$B$140,B138&lt;=$B$141,B138&lt;=$B$142,B138&lt;=$B$143)),CONCATENATE(D138,"&amp;"),""),"")</f>
      </c>
      <c r="B138" s="176" t="e">
        <f>IF((C138-'VIB SPEC SHEET'!$AL$85)&gt;0,C138-'VIB SPEC SHEET'!$AL$85,10^10)</f>
        <v>#VALUE!</v>
      </c>
      <c r="C138" s="231"/>
      <c r="D138" s="232"/>
      <c r="E138" s="233"/>
      <c r="F138" s="197"/>
      <c r="G138" s="174">
        <f>IF('VIB SPEC SHEET'!$K$85="NEMA 4",IF(AND(I138&gt;'VIB SPEC SHEET'!$AL$85,AND(H138&lt;=$H$114,H138&lt;=$H$115,H138&lt;=$H$116,H138&lt;=$H$117,H138&lt;=$H$118,H138&lt;=$H$119,H138&lt;=$H$120,H138&lt;=$H$121,H138&lt;=$H$122,H138&lt;=$H$123,H138&lt;=$H$124,H138&lt;=$H$125,H138&lt;=$H$126,H138&lt;=$H$127,H138&lt;=$H$128,H138&lt;=$H$129,H138&lt;=$H$130,H138&lt;=$H$131,H138&lt;=$H$132,H138&lt;=$H$133,H138&lt;=$H$134,H138&lt;=$H$135,H138&lt;=$H$136,H138&lt;=$H$137,H138&lt;=$H$138,H138&lt;=$H$139,H138&lt;=$H$140,H138&lt;=$H$141,H138&lt;=$H$142,H138&lt;=$H$143)),CONCATENATE(J138,"&amp;"),""),"")</f>
      </c>
      <c r="H138" s="176" t="e">
        <f>IF((I138-'VIB SPEC SHEET'!$AL$85)&gt;0,I138-'VIB SPEC SHEET'!$AL$85,10^10)</f>
        <v>#VALUE!</v>
      </c>
      <c r="I138" s="231"/>
      <c r="J138" s="232"/>
      <c r="K138" s="233"/>
      <c r="L138" s="197"/>
      <c r="M138" s="174">
        <f>IF('VIB SPEC SHEET'!$K$85="NEMA 4X SS",IF(AND(O138&gt;'VIB SPEC SHEET'!$AL$85,AND(N138&lt;=$N$114,N138&lt;=$N$115,N138&lt;=$N$116,N138&lt;=$N$117,N138&lt;=$N$118,N138&lt;=$N$119,N138&lt;=$N$120,N138&lt;=$N$121,N138&lt;=$N$122,N138&lt;=$N$123,N138&lt;=$N$124,N138&lt;=$N$125,N138&lt;=$N$126,N138&lt;=$N$127,N138&lt;=$N$128,N138&lt;=$N$129,N138&lt;=$N$130,N138&lt;=$N$131,N138&lt;=$N$132,N138&lt;=$N$133,N138&lt;=$N$134,N138&lt;=$N$135,N138&lt;=$N$136,N138&lt;=$N$137,N138&lt;=$N$138,N138&lt;=$N$139,N138&lt;=$N$140,N138&lt;=$N$141,N138&lt;=$N$142,N138&lt;=$N$143)),CONCATENATE(P138,"&amp;"),""),"")</f>
      </c>
      <c r="N138" s="176" t="e">
        <f>IF((O138-'VIB SPEC SHEET'!$AL$85)&gt;0,O138-'VIB SPEC SHEET'!$AL$85,10^10)</f>
        <v>#VALUE!</v>
      </c>
      <c r="O138" s="231"/>
      <c r="P138" s="232"/>
      <c r="Q138" s="233"/>
      <c r="S138" s="180"/>
      <c r="T138" s="180"/>
      <c r="U138" s="190"/>
      <c r="V138" s="198"/>
    </row>
    <row r="139" spans="1:22" ht="15">
      <c r="A139" s="174">
        <f>IF('VIB SPEC SHEET'!$K$85="NEMA 12",IF(AND(C139&gt;'VIB SPEC SHEET'!$AL$85,AND(B139&lt;=$B$114,B139&lt;=$B$115,B139&lt;=$B$116,B139&lt;=$B$117,B139&lt;=$B$118,B139&lt;=$B$119,B139&lt;=$B$120,B139&lt;=$B$121,B139&lt;=$B$122,B139&lt;=$B$123,B139&lt;=$B$124,B139&lt;=$B$125,B139&lt;=$B$126,B139&lt;=$B$127,B139&lt;=$B$128,B139&lt;=$B$129,B139&lt;=$B$130,B139&lt;=$B$131,B139&lt;=$B$132,B139&lt;=$B$133,B139&lt;=$B$134,B139&lt;=$B$135,B139&lt;=$B$136,B139&lt;=$B$137,B139&lt;=$B$138,B139&lt;=$B$139,B139&lt;=$B$140,B139&lt;=$B$141,B139&lt;=$B$142,B139&lt;=$B$143)),CONCATENATE(D139,"&amp;"),""),"")</f>
      </c>
      <c r="B139" s="176" t="e">
        <f>IF((C139-'VIB SPEC SHEET'!$AL$85)&gt;0,C139-'VIB SPEC SHEET'!$AL$85,10^10)</f>
        <v>#VALUE!</v>
      </c>
      <c r="C139" s="231"/>
      <c r="D139" s="232"/>
      <c r="E139" s="233"/>
      <c r="F139" s="197"/>
      <c r="G139" s="174">
        <f>IF('VIB SPEC SHEET'!$K$85="NEMA 4",IF(AND(I139&gt;'VIB SPEC SHEET'!$AL$85,AND(H139&lt;=$H$114,H139&lt;=$H$115,H139&lt;=$H$116,H139&lt;=$H$117,H139&lt;=$H$118,H139&lt;=$H$119,H139&lt;=$H$120,H139&lt;=$H$121,H139&lt;=$H$122,H139&lt;=$H$123,H139&lt;=$H$124,H139&lt;=$H$125,H139&lt;=$H$126,H139&lt;=$H$127,H139&lt;=$H$128,H139&lt;=$H$129,H139&lt;=$H$130,H139&lt;=$H$131,H139&lt;=$H$132,H139&lt;=$H$133,H139&lt;=$H$134,H139&lt;=$H$135,H139&lt;=$H$136,H139&lt;=$H$137,H139&lt;=$H$138,H139&lt;=$H$139,H139&lt;=$H$140,H139&lt;=$H$141,H139&lt;=$H$142,H139&lt;=$H$143)),CONCATENATE(J139,"&amp;"),""),"")</f>
      </c>
      <c r="H139" s="176" t="e">
        <f>IF((I139-'VIB SPEC SHEET'!$AL$85)&gt;0,I139-'VIB SPEC SHEET'!$AL$85,10^10)</f>
        <v>#VALUE!</v>
      </c>
      <c r="I139" s="231"/>
      <c r="J139" s="232"/>
      <c r="K139" s="233"/>
      <c r="L139" s="197"/>
      <c r="M139" s="174">
        <f>IF('VIB SPEC SHEET'!$K$85="NEMA 4X SS",IF(AND(O139&gt;'VIB SPEC SHEET'!$AL$85,AND(N139&lt;=$N$114,N139&lt;=$N$115,N139&lt;=$N$116,N139&lt;=$N$117,N139&lt;=$N$118,N139&lt;=$N$119,N139&lt;=$N$120,N139&lt;=$N$121,N139&lt;=$N$122,N139&lt;=$N$123,N139&lt;=$N$124,N139&lt;=$N$125,N139&lt;=$N$126,N139&lt;=$N$127,N139&lt;=$N$128,N139&lt;=$N$129,N139&lt;=$N$130,N139&lt;=$N$131,N139&lt;=$N$132,N139&lt;=$N$133,N139&lt;=$N$134,N139&lt;=$N$135,N139&lt;=$N$136,N139&lt;=$N$137,N139&lt;=$N$138,N139&lt;=$N$139,N139&lt;=$N$140,N139&lt;=$N$141,N139&lt;=$N$142,N139&lt;=$N$143)),CONCATENATE(P139,"&amp;"),""),"")</f>
      </c>
      <c r="N139" s="176" t="e">
        <f>IF((O139-'VIB SPEC SHEET'!$AL$85)&gt;0,O139-'VIB SPEC SHEET'!$AL$85,10^10)</f>
        <v>#VALUE!</v>
      </c>
      <c r="O139" s="231"/>
      <c r="P139" s="232"/>
      <c r="Q139" s="233"/>
      <c r="S139" s="180"/>
      <c r="T139" s="180"/>
      <c r="U139" s="190"/>
      <c r="V139" s="198"/>
    </row>
    <row r="140" spans="1:22" ht="15">
      <c r="A140" s="174">
        <f>IF('VIB SPEC SHEET'!$K$85="NEMA 12",IF(AND(C140&gt;'VIB SPEC SHEET'!$AL$85,AND(B140&lt;=$B$114,B140&lt;=$B$115,B140&lt;=$B$116,B140&lt;=$B$117,B140&lt;=$B$118,B140&lt;=$B$119,B140&lt;=$B$120,B140&lt;=$B$121,B140&lt;=$B$122,B140&lt;=$B$123,B140&lt;=$B$124,B140&lt;=$B$125,B140&lt;=$B$126,B140&lt;=$B$127,B140&lt;=$B$128,B140&lt;=$B$129,B140&lt;=$B$130,B140&lt;=$B$131,B140&lt;=$B$132,B140&lt;=$B$133,B140&lt;=$B$134,B140&lt;=$B$135,B140&lt;=$B$136,B140&lt;=$B$137,B140&lt;=$B$138,B140&lt;=$B$139,B140&lt;=$B$140,B140&lt;=$B$141,B140&lt;=$B$142,B140&lt;=$B$143)),CONCATENATE(D140,"&amp;"),""),"")</f>
      </c>
      <c r="B140" s="176" t="e">
        <f>IF((C140-'VIB SPEC SHEET'!$AL$85)&gt;0,C140-'VIB SPEC SHEET'!$AL$85,10^10)</f>
        <v>#VALUE!</v>
      </c>
      <c r="C140" s="231"/>
      <c r="D140" s="232"/>
      <c r="E140" s="233"/>
      <c r="F140" s="197"/>
      <c r="G140" s="174">
        <f>IF('VIB SPEC SHEET'!$K$85="NEMA 4",IF(AND(I140&gt;'VIB SPEC SHEET'!$AL$85,AND(H140&lt;=$H$114,H140&lt;=$H$115,H140&lt;=$H$116,H140&lt;=$H$117,H140&lt;=$H$118,H140&lt;=$H$119,H140&lt;=$H$120,H140&lt;=$H$121,H140&lt;=$H$122,H140&lt;=$H$123,H140&lt;=$H$124,H140&lt;=$H$125,H140&lt;=$H$126,H140&lt;=$H$127,H140&lt;=$H$128,H140&lt;=$H$129,H140&lt;=$H$130,H140&lt;=$H$131,H140&lt;=$H$132,H140&lt;=$H$133,H140&lt;=$H$134,H140&lt;=$H$135,H140&lt;=$H$136,H140&lt;=$H$137,H140&lt;=$H$138,H140&lt;=$H$139,H140&lt;=$H$140,H140&lt;=$H$141,H140&lt;=$H$142,H140&lt;=$H$143)),CONCATENATE(J140,"&amp;"),""),"")</f>
      </c>
      <c r="H140" s="176" t="e">
        <f>IF((I140-'VIB SPEC SHEET'!$AL$85)&gt;0,I140-'VIB SPEC SHEET'!$AL$85,10^10)</f>
        <v>#VALUE!</v>
      </c>
      <c r="I140" s="231"/>
      <c r="J140" s="232"/>
      <c r="K140" s="233"/>
      <c r="L140" s="197"/>
      <c r="M140" s="174">
        <f>IF('VIB SPEC SHEET'!$K$85="NEMA 4X SS",IF(AND(O140&gt;'VIB SPEC SHEET'!$AL$85,AND(N140&lt;=$N$114,N140&lt;=$N$115,N140&lt;=$N$116,N140&lt;=$N$117,N140&lt;=$N$118,N140&lt;=$N$119,N140&lt;=$N$120,N140&lt;=$N$121,N140&lt;=$N$122,N140&lt;=$N$123,N140&lt;=$N$124,N140&lt;=$N$125,N140&lt;=$N$126,N140&lt;=$N$127,N140&lt;=$N$128,N140&lt;=$N$129,N140&lt;=$N$130,N140&lt;=$N$131,N140&lt;=$N$132,N140&lt;=$N$133,N140&lt;=$N$134,N140&lt;=$N$135,N140&lt;=$N$136,N140&lt;=$N$137,N140&lt;=$N$138,N140&lt;=$N$139,N140&lt;=$N$140,N140&lt;=$N$141,N140&lt;=$N$142,N140&lt;=$N$143)),CONCATENATE(P140,"&amp;"),""),"")</f>
      </c>
      <c r="N140" s="176" t="e">
        <f>IF((O140-'VIB SPEC SHEET'!$AL$85)&gt;0,O140-'VIB SPEC SHEET'!$AL$85,10^10)</f>
        <v>#VALUE!</v>
      </c>
      <c r="O140" s="231"/>
      <c r="P140" s="232"/>
      <c r="Q140" s="233"/>
      <c r="S140" s="180"/>
      <c r="T140" s="180"/>
      <c r="U140" s="190"/>
      <c r="V140" s="198"/>
    </row>
    <row r="141" spans="1:22" ht="15">
      <c r="A141" s="174">
        <f>IF('VIB SPEC SHEET'!$K$85="NEMA 12",IF(AND(C141&gt;'VIB SPEC SHEET'!$AL$85,AND(B141&lt;=$B$114,B141&lt;=$B$115,B141&lt;=$B$116,B141&lt;=$B$117,B141&lt;=$B$118,B141&lt;=$B$119,B141&lt;=$B$120,B141&lt;=$B$121,B141&lt;=$B$122,B141&lt;=$B$123,B141&lt;=$B$124,B141&lt;=$B$125,B141&lt;=$B$126,B141&lt;=$B$127,B141&lt;=$B$128,B141&lt;=$B$129,B141&lt;=$B$130,B141&lt;=$B$131,B141&lt;=$B$132,B141&lt;=$B$133,B141&lt;=$B$134,B141&lt;=$B$135,B141&lt;=$B$136,B141&lt;=$B$137,B141&lt;=$B$138,B141&lt;=$B$139,B141&lt;=$B$140,B141&lt;=$B$141,B141&lt;=$B$142,B141&lt;=$B$143)),CONCATENATE(D141,"&amp;"),""),"")</f>
      </c>
      <c r="B141" s="176" t="e">
        <f>IF((C141-'VIB SPEC SHEET'!$AL$85)&gt;0,C141-'VIB SPEC SHEET'!$AL$85,10^10)</f>
        <v>#VALUE!</v>
      </c>
      <c r="C141" s="231"/>
      <c r="D141" s="232"/>
      <c r="E141" s="233"/>
      <c r="F141" s="197"/>
      <c r="G141" s="174">
        <f>IF('VIB SPEC SHEET'!$K$85="NEMA 4",IF(AND(I141&gt;'VIB SPEC SHEET'!$AL$85,AND(H141&lt;=$H$114,H141&lt;=$H$115,H141&lt;=$H$116,H141&lt;=$H$117,H141&lt;=$H$118,H141&lt;=$H$119,H141&lt;=$H$120,H141&lt;=$H$121,H141&lt;=$H$122,H141&lt;=$H$123,H141&lt;=$H$124,H141&lt;=$H$125,H141&lt;=$H$126,H141&lt;=$H$127,H141&lt;=$H$128,H141&lt;=$H$129,H141&lt;=$H$130,H141&lt;=$H$131,H141&lt;=$H$132,H141&lt;=$H$133,H141&lt;=$H$134,H141&lt;=$H$135,H141&lt;=$H$136,H141&lt;=$H$137,H141&lt;=$H$138,H141&lt;=$H$139,H141&lt;=$H$140,H141&lt;=$H$141,H141&lt;=$H$142,H141&lt;=$H$143)),CONCATENATE(J141,"&amp;"),""),"")</f>
      </c>
      <c r="H141" s="176" t="e">
        <f>IF((I141-'VIB SPEC SHEET'!$AL$85)&gt;0,I141-'VIB SPEC SHEET'!$AL$85,10^10)</f>
        <v>#VALUE!</v>
      </c>
      <c r="I141" s="231"/>
      <c r="J141" s="232"/>
      <c r="K141" s="233"/>
      <c r="L141" s="197"/>
      <c r="M141" s="174">
        <f>IF('VIB SPEC SHEET'!$K$85="NEMA 4X SS",IF(AND(O141&gt;'VIB SPEC SHEET'!$AL$85,AND(N141&lt;=$N$114,N141&lt;=$N$115,N141&lt;=$N$116,N141&lt;=$N$117,N141&lt;=$N$118,N141&lt;=$N$119,N141&lt;=$N$120,N141&lt;=$N$121,N141&lt;=$N$122,N141&lt;=$N$123,N141&lt;=$N$124,N141&lt;=$N$125,N141&lt;=$N$126,N141&lt;=$N$127,N141&lt;=$N$128,N141&lt;=$N$129,N141&lt;=$N$130,N141&lt;=$N$131,N141&lt;=$N$132,N141&lt;=$N$133,N141&lt;=$N$134,N141&lt;=$N$135,N141&lt;=$N$136,N141&lt;=$N$137,N141&lt;=$N$138,N141&lt;=$N$139,N141&lt;=$N$140,N141&lt;=$N$141,N141&lt;=$N$142,N141&lt;=$N$143)),CONCATENATE(P141,"&amp;"),""),"")</f>
      </c>
      <c r="N141" s="176" t="e">
        <f>IF((O141-'VIB SPEC SHEET'!$AL$85)&gt;0,O141-'VIB SPEC SHEET'!$AL$85,10^10)</f>
        <v>#VALUE!</v>
      </c>
      <c r="O141" s="231"/>
      <c r="P141" s="232"/>
      <c r="Q141" s="233"/>
      <c r="S141" s="180"/>
      <c r="T141" s="180"/>
      <c r="U141" s="190"/>
      <c r="V141" s="198"/>
    </row>
    <row r="142" spans="1:22" ht="15">
      <c r="A142" s="174">
        <f>IF('VIB SPEC SHEET'!$K$85="NEMA 12",IF(AND(C142&gt;'VIB SPEC SHEET'!$AL$85,AND(B142&lt;=$B$114,B142&lt;=$B$115,B142&lt;=$B$116,B142&lt;=$B$117,B142&lt;=$B$118,B142&lt;=$B$119,B142&lt;=$B$120,B142&lt;=$B$121,B142&lt;=$B$122,B142&lt;=$B$123,B142&lt;=$B$124,B142&lt;=$B$125,B142&lt;=$B$126,B142&lt;=$B$127,B142&lt;=$B$128,B142&lt;=$B$129,B142&lt;=$B$130,B142&lt;=$B$131,B142&lt;=$B$132,B142&lt;=$B$133,B142&lt;=$B$134,B142&lt;=$B$135,B142&lt;=$B$136,B142&lt;=$B$137,B142&lt;=$B$138,B142&lt;=$B$139,B142&lt;=$B$140,B142&lt;=$B$141,B142&lt;=$B$142,B142&lt;=$B$143)),CONCATENATE(D142,"&amp;"),""),"")</f>
      </c>
      <c r="B142" s="176" t="e">
        <f>IF((C142-'VIB SPEC SHEET'!$AL$85)&gt;0,C142-'VIB SPEC SHEET'!$AL$85,10^10)</f>
        <v>#VALUE!</v>
      </c>
      <c r="C142" s="231"/>
      <c r="D142" s="232"/>
      <c r="E142" s="233"/>
      <c r="F142" s="197"/>
      <c r="G142" s="174">
        <f>IF('VIB SPEC SHEET'!$K$85="NEMA 4",IF(AND(I142&gt;'VIB SPEC SHEET'!$AL$85,AND(H142&lt;=$H$114,H142&lt;=$H$115,H142&lt;=$H$116,H142&lt;=$H$117,H142&lt;=$H$118,H142&lt;=$H$119,H142&lt;=$H$120,H142&lt;=$H$121,H142&lt;=$H$122,H142&lt;=$H$123,H142&lt;=$H$124,H142&lt;=$H$125,H142&lt;=$H$126,H142&lt;=$H$127,H142&lt;=$H$128,H142&lt;=$H$129,H142&lt;=$H$130,H142&lt;=$H$131,H142&lt;=$H$132,H142&lt;=$H$133,H142&lt;=$H$134,H142&lt;=$H$135,H142&lt;=$H$136,H142&lt;=$H$137,H142&lt;=$H$138,H142&lt;=$H$139,H142&lt;=$H$140,H142&lt;=$H$141,H142&lt;=$H$142,H142&lt;=$H$143)),CONCATENATE(J142,"&amp;"),""),"")</f>
      </c>
      <c r="H142" s="176" t="e">
        <f>IF((I142-'VIB SPEC SHEET'!$AL$85)&gt;0,I142-'VIB SPEC SHEET'!$AL$85,10^10)</f>
        <v>#VALUE!</v>
      </c>
      <c r="I142" s="231"/>
      <c r="J142" s="232"/>
      <c r="K142" s="233"/>
      <c r="L142" s="197"/>
      <c r="M142" s="174">
        <f>IF('VIB SPEC SHEET'!$K$85="NEMA 4X SS",IF(AND(O142&gt;'VIB SPEC SHEET'!$AL$85,AND(N142&lt;=$N$114,N142&lt;=$N$115,N142&lt;=$N$116,N142&lt;=$N$117,N142&lt;=$N$118,N142&lt;=$N$119,N142&lt;=$N$120,N142&lt;=$N$121,N142&lt;=$N$122,N142&lt;=$N$123,N142&lt;=$N$124,N142&lt;=$N$125,N142&lt;=$N$126,N142&lt;=$N$127,N142&lt;=$N$128,N142&lt;=$N$129,N142&lt;=$N$130,N142&lt;=$N$131,N142&lt;=$N$132,N142&lt;=$N$133,N142&lt;=$N$134,N142&lt;=$N$135,N142&lt;=$N$136,N142&lt;=$N$137,N142&lt;=$N$138,N142&lt;=$N$139,N142&lt;=$N$140,N142&lt;=$N$141,N142&lt;=$N$142,N142&lt;=$N$143)),CONCATENATE(P142,"&amp;"),""),"")</f>
      </c>
      <c r="N142" s="176" t="e">
        <f>IF((O142-'VIB SPEC SHEET'!$AL$85)&gt;0,O142-'VIB SPEC SHEET'!$AL$85,10^10)</f>
        <v>#VALUE!</v>
      </c>
      <c r="O142" s="231"/>
      <c r="P142" s="232"/>
      <c r="Q142" s="233"/>
      <c r="S142" s="180"/>
      <c r="T142" s="180"/>
      <c r="U142" s="190"/>
      <c r="V142" s="198"/>
    </row>
    <row r="143" spans="1:22" ht="15.75" thickBot="1">
      <c r="A143" s="174">
        <f>IF('VIB SPEC SHEET'!$K$85="NEMA 12",IF(AND(C143&gt;'VIB SPEC SHEET'!$AL$85,AND(B143&lt;=$B$114,B143&lt;=$B$115,B143&lt;=$B$116,B143&lt;=$B$117,B143&lt;=$B$118,B143&lt;=$B$119,B143&lt;=$B$120,B143&lt;=$B$121,B143&lt;=$B$122,B143&lt;=$B$123,B143&lt;=$B$124,B143&lt;=$B$125,B143&lt;=$B$126,B143&lt;=$B$127,B143&lt;=$B$128,B143&lt;=$B$129,B143&lt;=$B$130,B143&lt;=$B$131,B143&lt;=$B$132,B143&lt;=$B$133,B143&lt;=$B$134,B143&lt;=$B$135,B143&lt;=$B$136,B143&lt;=$B$137,B143&lt;=$B$138,B143&lt;=$B$139,B143&lt;=$B$140,B143&lt;=$B$141,B143&lt;=$B$142,B143&lt;=$B$143)),CONCATENATE(D143,"&amp;"),""),"")</f>
      </c>
      <c r="B143" s="176" t="e">
        <f>IF((C143-'VIB SPEC SHEET'!$AL$85)&gt;0,C143-'VIB SPEC SHEET'!$AL$85,10^10)</f>
        <v>#VALUE!</v>
      </c>
      <c r="C143" s="234"/>
      <c r="D143" s="235"/>
      <c r="E143" s="236"/>
      <c r="F143" s="197"/>
      <c r="G143" s="174">
        <f>IF('VIB SPEC SHEET'!$K$85="NEMA 4",IF(AND(I143&gt;'VIB SPEC SHEET'!$AL$85,AND(H143&lt;=$H$114,H143&lt;=$H$115,H143&lt;=$H$116,H143&lt;=$H$117,H143&lt;=$H$118,H143&lt;=$H$119,H143&lt;=$H$120,H143&lt;=$H$121,H143&lt;=$H$122,H143&lt;=$H$123,H143&lt;=$H$124,H143&lt;=$H$125,H143&lt;=$H$126,H143&lt;=$H$127,H143&lt;=$H$128,H143&lt;=$H$129,H143&lt;=$H$130,H143&lt;=$H$131,H143&lt;=$H$132,H143&lt;=$H$133,H143&lt;=$H$134,H143&lt;=$H$135,H143&lt;=$H$136,H143&lt;=$H$137,H143&lt;=$H$138,H143&lt;=$H$139,H143&lt;=$H$140,H143&lt;=$H$141,H143&lt;=$H$142,H143&lt;=$H$143)),CONCATENATE(J143,"&amp;"),""),"")</f>
      </c>
      <c r="H143" s="176" t="e">
        <f>IF((I143-'VIB SPEC SHEET'!$AL$85)&gt;0,I143-'VIB SPEC SHEET'!$AL$85,10^10)</f>
        <v>#VALUE!</v>
      </c>
      <c r="I143" s="234"/>
      <c r="J143" s="235"/>
      <c r="K143" s="236"/>
      <c r="L143" s="197"/>
      <c r="M143" s="174">
        <f>IF('VIB SPEC SHEET'!$K$85="NEMA 4X SS",IF(AND(O143&gt;'VIB SPEC SHEET'!$AL$85,AND(N143&lt;=$N$114,N143&lt;=$N$115,N143&lt;=$N$116,N143&lt;=$N$117,N143&lt;=$N$118,N143&lt;=$N$119,N143&lt;=$N$120,N143&lt;=$N$121,N143&lt;=$N$122,N143&lt;=$N$123,N143&lt;=$N$124,N143&lt;=$N$125,N143&lt;=$N$126,N143&lt;=$N$127,N143&lt;=$N$128,N143&lt;=$N$129,N143&lt;=$N$130,N143&lt;=$N$131,N143&lt;=$N$132,N143&lt;=$N$133,N143&lt;=$N$134,N143&lt;=$N$135,N143&lt;=$N$136,N143&lt;=$N$137,N143&lt;=$N$138,N143&lt;=$N$139,N143&lt;=$N$140,N143&lt;=$N$141,N143&lt;=$N$142,N143&lt;=$N$143)),CONCATENATE(P143,"&amp;"),""),"")</f>
      </c>
      <c r="N143" s="176" t="e">
        <f>IF((O143-'VIB SPEC SHEET'!$AL$85)&gt;0,O143-'VIB SPEC SHEET'!$AL$85,10^10)</f>
        <v>#VALUE!</v>
      </c>
      <c r="O143" s="234"/>
      <c r="P143" s="235"/>
      <c r="Q143" s="236"/>
      <c r="S143" s="180"/>
      <c r="T143" s="180"/>
      <c r="U143" s="190"/>
      <c r="V143" s="198"/>
    </row>
    <row r="144" spans="1:22" ht="15">
      <c r="A144" s="180"/>
      <c r="B144" s="180"/>
      <c r="C144" s="180"/>
      <c r="D144" s="200"/>
      <c r="E144" s="198"/>
      <c r="F144" s="197"/>
      <c r="G144" s="180"/>
      <c r="H144" s="180"/>
      <c r="I144" s="180"/>
      <c r="J144" s="190"/>
      <c r="K144" s="198"/>
      <c r="L144" s="197"/>
      <c r="M144" s="180"/>
      <c r="N144" s="180"/>
      <c r="O144" s="180"/>
      <c r="P144" s="190"/>
      <c r="Q144" s="198"/>
      <c r="S144" s="180"/>
      <c r="T144" s="180"/>
      <c r="U144" s="190"/>
      <c r="V144" s="198"/>
    </row>
    <row r="145" spans="1:22" ht="15">
      <c r="A145" s="180"/>
      <c r="B145" s="180"/>
      <c r="C145" s="180"/>
      <c r="D145" s="190"/>
      <c r="E145" s="198"/>
      <c r="F145" s="197"/>
      <c r="G145" s="180"/>
      <c r="H145" s="180"/>
      <c r="I145" s="180"/>
      <c r="J145" s="190"/>
      <c r="K145" s="198"/>
      <c r="L145" s="197"/>
      <c r="M145" s="180"/>
      <c r="N145" s="180"/>
      <c r="O145" s="180"/>
      <c r="P145" s="190"/>
      <c r="Q145" s="198"/>
      <c r="S145" s="180"/>
      <c r="T145" s="180"/>
      <c r="U145" s="190"/>
      <c r="V145" s="198"/>
    </row>
    <row r="146" spans="1:22" ht="15.75" thickBot="1">
      <c r="A146" s="180"/>
      <c r="B146" s="180"/>
      <c r="C146" s="180"/>
      <c r="D146" s="190"/>
      <c r="E146" s="198"/>
      <c r="F146" s="197"/>
      <c r="G146" s="180"/>
      <c r="H146" s="180"/>
      <c r="I146" s="180"/>
      <c r="J146" s="190"/>
      <c r="K146" s="198"/>
      <c r="L146" s="197"/>
      <c r="M146" s="180"/>
      <c r="N146" s="180"/>
      <c r="O146" s="180"/>
      <c r="P146" s="190"/>
      <c r="Q146" s="198"/>
      <c r="S146" s="180"/>
      <c r="T146" s="180"/>
      <c r="U146" s="190"/>
      <c r="V146" s="198"/>
    </row>
    <row r="147" spans="1:22" ht="16.5" thickBot="1">
      <c r="A147" s="203" t="s">
        <v>216</v>
      </c>
      <c r="B147" s="138"/>
      <c r="F147" s="197"/>
      <c r="G147" s="203" t="s">
        <v>216</v>
      </c>
      <c r="H147" s="138"/>
      <c r="L147" s="197"/>
      <c r="M147" s="203" t="s">
        <v>216</v>
      </c>
      <c r="N147" s="138"/>
      <c r="S147" s="180"/>
      <c r="T147" s="180"/>
      <c r="U147" s="190"/>
      <c r="V147" s="198"/>
    </row>
    <row r="148" spans="1:22" ht="15">
      <c r="A148" s="175">
        <f>IF('VIB SPEC SHEET'!$K$85="NEMA 12",IF(AND(C148&gt;'VIB SPEC SHEET'!$AL$85,AND(B148&lt;=$B$148,B148&lt;=$B$149,B148&lt;=$B$150,B148&lt;=$B$151,B148&lt;=$B$152,B148&lt;=$B$153,B148&lt;=$B$154,B148&lt;=$B$155,B148&lt;=$B$156,B148&lt;=$B$157,B148&lt;=$B$158,B148&lt;=$B$159,B148&lt;=$B$160,B148&lt;=$B$161,B148&lt;=$B$162,B148&lt;=$B$163,B148&lt;=$B$164,B148&lt;=$B$165,B148&lt;=$B$166,B148&lt;=$B$167,B148&lt;=$B$168,B148&lt;=$B$169,B148&lt;=$B$170,B148&lt;=$B$171,B148&lt;=$B$172,B148&lt;=$B$173,B148&lt;=$B$174,B148&lt;=$B$175,B148&lt;=$B$176,B148&lt;=$B$177)),CONCATENATE(D148,"&amp;"),""),"")</f>
      </c>
      <c r="B148" s="176" t="e">
        <f>IF((C148-'VIB SPEC SHEET'!$AL$85)&gt;0,C148-'VIB SPEC SHEET'!$AL$85,10^10)</f>
        <v>#VALUE!</v>
      </c>
      <c r="C148" s="237"/>
      <c r="D148" s="238"/>
      <c r="E148" s="239"/>
      <c r="F148" s="197"/>
      <c r="G148" s="175">
        <f>IF('VIB SPEC SHEET'!$K$85="NEMA 4",IF(AND(I148&gt;'VIB SPEC SHEET'!$AL$85,AND(H148&lt;=$H$148,H148&lt;=$H$149,H148&lt;=$H$150,H148&lt;=$H$151,H148&lt;=$H$152,H148&lt;=$H$153,H148&lt;=$H$154,H148&lt;=$H$155,H148&lt;=$H$156,H148&lt;=$H$157,H148&lt;=$H$158,H148&lt;=$H$159,H148&lt;=$H$160,H148&lt;=$H$161,H148&lt;=$H$162,H148&lt;=$H$163,H148&lt;=$H$164,H148&lt;=$H$165,H148&lt;=$H$166,H148&lt;=$H$167,H148&lt;=$H$168,H148&lt;=$H$169,H148&lt;=$H$170,H148&lt;=$H$171,H148&lt;=$H$172,H148&lt;=$H$173,H148&lt;=$H$174,H148&lt;=$H$175,H148&lt;=$H$176,H148&lt;=$B$177)),CONCATENATE(J148,"&amp;"),""),"")</f>
      </c>
      <c r="H148" s="176" t="e">
        <f>IF((I148-'VIB SPEC SHEET'!$AL$85)&gt;0,I148-'VIB SPEC SHEET'!$AL$85,10^10)</f>
        <v>#VALUE!</v>
      </c>
      <c r="I148" s="237"/>
      <c r="J148" s="238"/>
      <c r="K148" s="239"/>
      <c r="L148" s="197"/>
      <c r="M148" s="175">
        <f>IF('VIB SPEC SHEET'!$K$85="NEMA 4X SS",IF(AND(O148&gt;'VIB SPEC SHEET'!$AL$85,AND(N148&lt;=$N$148,N148&lt;=$N$149,N148&lt;=$N$150,N148&lt;=$N$151,N148&lt;=$N$152,N148&lt;=$N$153,N148&lt;=$N$154,N148&lt;=$N$155,N148&lt;=$N$156,N148&lt;=$N$157,N148&lt;=$N$158,N148&lt;=$N$159,N148&lt;=$N$160,N148&lt;=$N$161,N148&lt;=$N$162,N148&lt;=$N$163,N148&lt;=$N$164,N148&lt;=$N$165,N148&lt;=$N$166,N148&lt;=$N$167,N148&lt;=$N$168,N148&lt;=$N$169,N148&lt;=$N$170,N148&lt;=$N$171,N148&lt;=$N$172,N148&lt;=$N$173,N148&lt;=$N$174,N148&lt;=$N$175,N148&lt;=$N$176,N148&lt;=$N$177)),CONCATENATE(P148,"&amp;"),""),"")</f>
      </c>
      <c r="N148" s="176" t="e">
        <f>IF((O148-'VIB SPEC SHEET'!$AL$85)&gt;0,O148-'VIB SPEC SHEET'!$AL$85,10^10)</f>
        <v>#VALUE!</v>
      </c>
      <c r="O148" s="237"/>
      <c r="P148" s="238"/>
      <c r="Q148" s="239"/>
      <c r="S148" s="180"/>
      <c r="T148" s="180"/>
      <c r="U148" s="190"/>
      <c r="V148" s="198"/>
    </row>
    <row r="149" spans="1:22" ht="15">
      <c r="A149" s="174">
        <f>IF('VIB SPEC SHEET'!$K$85="NEMA 12",IF(AND(C149&gt;'VIB SPEC SHEET'!$AL$85,AND(B149&lt;=$B$148,B149&lt;=$B$149,B149&lt;=$B$150,B149&lt;=$B$151,B149&lt;=$B$152,B149&lt;=$B$153,B149&lt;=$B$154,B149&lt;=$B$155,B149&lt;=$B$156,B149&lt;=$B$157,B149&lt;=$B$158,B149&lt;=$B$159,B149&lt;=$B$160,B149&lt;=$B$161,B149&lt;=$B$162,B149&lt;=$B$163,B149&lt;=$B$164,B149&lt;=$B$165,B149&lt;=$B$166,B149&lt;=$B$167,B149&lt;=$B$168,B149&lt;=$B$169,B149&lt;=$B$170,B149&lt;=$B$171,B149&lt;=$B$172,B149&lt;=$B$173,B149&lt;=$B$174,B149&lt;=$B$175,B149&lt;=$B$176,B149&lt;=$B$177)),CONCATENATE(D149,"&amp;"),""),"")</f>
      </c>
      <c r="B149" s="176" t="e">
        <f>IF((C149-'VIB SPEC SHEET'!$AL$85)&gt;0,C149-'VIB SPEC SHEET'!$AL$85,10^10)</f>
        <v>#VALUE!</v>
      </c>
      <c r="C149" s="231"/>
      <c r="D149" s="232"/>
      <c r="E149" s="233"/>
      <c r="F149" s="197"/>
      <c r="G149" s="174">
        <f>IF('VIB SPEC SHEET'!$K$85="NEMA 4",IF(AND(I149&gt;'VIB SPEC SHEET'!$AL$85,AND(H149&lt;=$H$148,H149&lt;=$H$149,H149&lt;=$H$150,H149&lt;=$H$151,H149&lt;=$H$152,H149&lt;=$H$153,H149&lt;=$H$154,H149&lt;=$H$155,H149&lt;=$H$156,H149&lt;=$H$157,H149&lt;=$H$158,H149&lt;=$H$159,H149&lt;=$H$160,H149&lt;=$H$161,H149&lt;=$H$162,H149&lt;=$H$163,H149&lt;=$H$164,H149&lt;=$H$165,H149&lt;=$H$166,H149&lt;=$H$167,H149&lt;=$H$168,H149&lt;=$H$169,H149&lt;=$H$170,H149&lt;=$H$171,H149&lt;=$H$172,H149&lt;=$H$173,H149&lt;=$H$174,H149&lt;=$H$175,H149&lt;=$H$176,H149&lt;=$B$177)),CONCATENATE(J149,"&amp;"),""),"")</f>
      </c>
      <c r="H149" s="176" t="e">
        <f>IF((I149-'VIB SPEC SHEET'!$AL$85)&gt;0,I149-'VIB SPEC SHEET'!$AL$85,10^10)</f>
        <v>#VALUE!</v>
      </c>
      <c r="I149" s="231"/>
      <c r="J149" s="232"/>
      <c r="K149" s="233"/>
      <c r="L149" s="197"/>
      <c r="M149" s="174">
        <f>IF('VIB SPEC SHEET'!$K$85="NEMA 4X SS",IF(AND(O149&gt;'VIB SPEC SHEET'!$AL$85,AND(N149&lt;=$N$148,N149&lt;=$N$149,N149&lt;=$N$150,N149&lt;=$N$151,N149&lt;=$N$152,N149&lt;=$N$153,N149&lt;=$N$154,N149&lt;=$N$155,N149&lt;=$N$156,N149&lt;=$N$157,N149&lt;=$N$158,N149&lt;=$N$159,N149&lt;=$N$160,N149&lt;=$N$161,N149&lt;=$N$162,N149&lt;=$N$163,N149&lt;=$N$164,N149&lt;=$N$165,N149&lt;=$N$166,N149&lt;=$N$167,N149&lt;=$N$168,N149&lt;=$N$169,N149&lt;=$N$170,N149&lt;=$N$171,N149&lt;=$N$172,N149&lt;=$N$173,N149&lt;=$N$174,N149&lt;=$N$175,N149&lt;=$N$176,N149&lt;=$N$177)),CONCATENATE(P149,"&amp;"),""),"")</f>
      </c>
      <c r="N149" s="176" t="e">
        <f>IF((O149-'VIB SPEC SHEET'!$AL$85)&gt;0,O149-'VIB SPEC SHEET'!$AL$85,10^10)</f>
        <v>#VALUE!</v>
      </c>
      <c r="O149" s="231"/>
      <c r="P149" s="232"/>
      <c r="Q149" s="233"/>
      <c r="S149" s="180"/>
      <c r="T149" s="180"/>
      <c r="U149" s="190"/>
      <c r="V149" s="198"/>
    </row>
    <row r="150" spans="1:22" ht="15">
      <c r="A150" s="174">
        <f>IF('VIB SPEC SHEET'!$K$85="NEMA 12",IF(AND(C150&gt;'VIB SPEC SHEET'!$AL$85,AND(B150&lt;=$B$148,B150&lt;=$B$149,B150&lt;=$B$150,B150&lt;=$B$151,B150&lt;=$B$152,B150&lt;=$B$153,B150&lt;=$B$154,B150&lt;=$B$155,B150&lt;=$B$156,B150&lt;=$B$157,B150&lt;=$B$158,B150&lt;=$B$159,B150&lt;=$B$160,B150&lt;=$B$161,B150&lt;=$B$162,B150&lt;=$B$163,B150&lt;=$B$164,B150&lt;=$B$165,B150&lt;=$B$166,B150&lt;=$B$167,B150&lt;=$B$168,B150&lt;=$B$169,B150&lt;=$B$170,B150&lt;=$B$171,B150&lt;=$B$172,B150&lt;=$B$173,B150&lt;=$B$174,B150&lt;=$B$175,B150&lt;=$B$176,B150&lt;=$B$177)),CONCATENATE(D150,"&amp;"),""),"")</f>
      </c>
      <c r="B150" s="176" t="e">
        <f>IF((C150-'VIB SPEC SHEET'!$AL$85)&gt;0,C150-'VIB SPEC SHEET'!$AL$85,10^10)</f>
        <v>#VALUE!</v>
      </c>
      <c r="C150" s="231"/>
      <c r="D150" s="232"/>
      <c r="E150" s="233"/>
      <c r="F150" s="197"/>
      <c r="G150" s="174">
        <f>IF('VIB SPEC SHEET'!$K$85="NEMA 4",IF(AND(I150&gt;'VIB SPEC SHEET'!$AL$85,AND(H150&lt;=$H$148,H150&lt;=$H$149,H150&lt;=$H$150,H150&lt;=$H$151,H150&lt;=$H$152,H150&lt;=$H$153,H150&lt;=$H$154,H150&lt;=$H$155,H150&lt;=$H$156,H150&lt;=$H$157,H150&lt;=$H$158,H150&lt;=$H$159,H150&lt;=$H$160,H150&lt;=$H$161,H150&lt;=$H$162,H150&lt;=$H$163,H150&lt;=$H$164,H150&lt;=$H$165,H150&lt;=$H$166,H150&lt;=$H$167,H150&lt;=$H$168,H150&lt;=$H$169,H150&lt;=$H$170,H150&lt;=$H$171,H150&lt;=$H$172,H150&lt;=$H$173,H150&lt;=$H$174,H150&lt;=$H$175,H150&lt;=$H$176,H150&lt;=$B$177)),CONCATENATE(J150,"&amp;"),""),"")</f>
      </c>
      <c r="H150" s="176" t="e">
        <f>IF((I150-'VIB SPEC SHEET'!$AL$85)&gt;0,I150-'VIB SPEC SHEET'!$AL$85,10^10)</f>
        <v>#VALUE!</v>
      </c>
      <c r="I150" s="231"/>
      <c r="J150" s="232"/>
      <c r="K150" s="233"/>
      <c r="L150" s="197"/>
      <c r="M150" s="174">
        <f>IF('VIB SPEC SHEET'!$K$85="NEMA 4X SS",IF(AND(O150&gt;'VIB SPEC SHEET'!$AL$85,AND(N150&lt;=$N$148,N150&lt;=$N$149,N150&lt;=$N$150,N150&lt;=$N$151,N150&lt;=$N$152,N150&lt;=$N$153,N150&lt;=$N$154,N150&lt;=$N$155,N150&lt;=$N$156,N150&lt;=$N$157,N150&lt;=$N$158,N150&lt;=$N$159,N150&lt;=$N$160,N150&lt;=$N$161,N150&lt;=$N$162,N150&lt;=$N$163,N150&lt;=$N$164,N150&lt;=$N$165,N150&lt;=$N$166,N150&lt;=$N$167,N150&lt;=$N$168,N150&lt;=$N$169,N150&lt;=$N$170,N150&lt;=$N$171,N150&lt;=$N$172,N150&lt;=$N$173,N150&lt;=$N$174,N150&lt;=$N$175,N150&lt;=$N$176,N150&lt;=$N$177)),CONCATENATE(P150,"&amp;"),""),"")</f>
      </c>
      <c r="N150" s="176" t="e">
        <f>IF((O150-'VIB SPEC SHEET'!$AL$85)&gt;0,O150-'VIB SPEC SHEET'!$AL$85,10^10)</f>
        <v>#VALUE!</v>
      </c>
      <c r="O150" s="231"/>
      <c r="P150" s="232"/>
      <c r="Q150" s="233"/>
      <c r="S150" s="180"/>
      <c r="T150" s="180"/>
      <c r="U150" s="190"/>
      <c r="V150" s="198"/>
    </row>
    <row r="151" spans="1:22" ht="15">
      <c r="A151" s="174">
        <f>IF('VIB SPEC SHEET'!$K$85="NEMA 12",IF(AND(C151&gt;'VIB SPEC SHEET'!$AL$85,AND(B151&lt;=$B$148,B151&lt;=$B$149,B151&lt;=$B$150,B151&lt;=$B$151,B151&lt;=$B$152,B151&lt;=$B$153,B151&lt;=$B$154,B151&lt;=$B$155,B151&lt;=$B$156,B151&lt;=$B$157,B151&lt;=$B$158,B151&lt;=$B$159,B151&lt;=$B$160,B151&lt;=$B$161,B151&lt;=$B$162,B151&lt;=$B$163,B151&lt;=$B$164,B151&lt;=$B$165,B151&lt;=$B$166,B151&lt;=$B$167,B151&lt;=$B$168,B151&lt;=$B$169,B151&lt;=$B$170,B151&lt;=$B$171,B151&lt;=$B$172,B151&lt;=$B$173,B151&lt;=$B$174,B151&lt;=$B$175,B151&lt;=$B$176,B151&lt;=$B$177)),CONCATENATE(D151,"&amp;"),""),"")</f>
      </c>
      <c r="B151" s="176" t="e">
        <f>IF((C151-'VIB SPEC SHEET'!$AL$85)&gt;0,C151-'VIB SPEC SHEET'!$AL$85,10^10)</f>
        <v>#VALUE!</v>
      </c>
      <c r="C151" s="231"/>
      <c r="D151" s="232"/>
      <c r="E151" s="233"/>
      <c r="F151" s="197"/>
      <c r="G151" s="174">
        <f>IF('VIB SPEC SHEET'!$K$85="NEMA 4",IF(AND(I151&gt;'VIB SPEC SHEET'!$AL$85,AND(H151&lt;=$H$148,H151&lt;=$H$149,H151&lt;=$H$150,H151&lt;=$H$151,H151&lt;=$H$152,H151&lt;=$H$153,H151&lt;=$H$154,H151&lt;=$H$155,H151&lt;=$H$156,H151&lt;=$H$157,H151&lt;=$H$158,H151&lt;=$H$159,H151&lt;=$H$160,H151&lt;=$H$161,H151&lt;=$H$162,H151&lt;=$H$163,H151&lt;=$H$164,H151&lt;=$H$165,H151&lt;=$H$166,H151&lt;=$H$167,H151&lt;=$H$168,H151&lt;=$H$169,H151&lt;=$H$170,H151&lt;=$H$171,H151&lt;=$H$172,H151&lt;=$H$173,H151&lt;=$H$174,H151&lt;=$H$175,H151&lt;=$H$176,H151&lt;=$B$177)),CONCATENATE(J151,"&amp;"),""),"")</f>
      </c>
      <c r="H151" s="176" t="e">
        <f>IF((I151-'VIB SPEC SHEET'!$AL$85)&gt;0,I151-'VIB SPEC SHEET'!$AL$85,10^10)</f>
        <v>#VALUE!</v>
      </c>
      <c r="I151" s="231"/>
      <c r="J151" s="232"/>
      <c r="K151" s="233"/>
      <c r="L151" s="197"/>
      <c r="M151" s="174">
        <f>IF('VIB SPEC SHEET'!$K$85="NEMA 4X SS",IF(AND(O151&gt;'VIB SPEC SHEET'!$AL$85,AND(N151&lt;=$N$148,N151&lt;=$N$149,N151&lt;=$N$150,N151&lt;=$N$151,N151&lt;=$N$152,N151&lt;=$N$153,N151&lt;=$N$154,N151&lt;=$N$155,N151&lt;=$N$156,N151&lt;=$N$157,N151&lt;=$N$158,N151&lt;=$N$159,N151&lt;=$N$160,N151&lt;=$N$161,N151&lt;=$N$162,N151&lt;=$N$163,N151&lt;=$N$164,N151&lt;=$N$165,N151&lt;=$N$166,N151&lt;=$N$167,N151&lt;=$N$168,N151&lt;=$N$169,N151&lt;=$N$170,N151&lt;=$N$171,N151&lt;=$N$172,N151&lt;=$N$173,N151&lt;=$N$174,N151&lt;=$N$175,N151&lt;=$N$176,N151&lt;=$N$177)),CONCATENATE(P151,"&amp;"),""),"")</f>
      </c>
      <c r="N151" s="176" t="e">
        <f>IF((O151-'VIB SPEC SHEET'!$AL$85)&gt;0,O151-'VIB SPEC SHEET'!$AL$85,10^10)</f>
        <v>#VALUE!</v>
      </c>
      <c r="O151" s="231"/>
      <c r="P151" s="232"/>
      <c r="Q151" s="233"/>
      <c r="S151" s="180"/>
      <c r="T151" s="180"/>
      <c r="U151" s="190"/>
      <c r="V151" s="198"/>
    </row>
    <row r="152" spans="1:22" ht="15">
      <c r="A152" s="174">
        <f>IF('VIB SPEC SHEET'!$K$85="NEMA 12",IF(AND(C152&gt;'VIB SPEC SHEET'!$AL$85,AND(B152&lt;=$B$148,B152&lt;=$B$149,B152&lt;=$B$150,B152&lt;=$B$151,B152&lt;=$B$152,B152&lt;=$B$153,B152&lt;=$B$154,B152&lt;=$B$155,B152&lt;=$B$156,B152&lt;=$B$157,B152&lt;=$B$158,B152&lt;=$B$159,B152&lt;=$B$160,B152&lt;=$B$161,B152&lt;=$B$162,B152&lt;=$B$163,B152&lt;=$B$164,B152&lt;=$B$165,B152&lt;=$B$166,B152&lt;=$B$167,B152&lt;=$B$168,B152&lt;=$B$169,B152&lt;=$B$170,B152&lt;=$B$171,B152&lt;=$B$172,B152&lt;=$B$173,B152&lt;=$B$174,B152&lt;=$B$175,B152&lt;=$B$176,B152&lt;=$B$177)),CONCATENATE(D152,"&amp;"),""),"")</f>
      </c>
      <c r="B152" s="176" t="e">
        <f>IF((C152-'VIB SPEC SHEET'!$AL$85)&gt;0,C152-'VIB SPEC SHEET'!$AL$85,10^10)</f>
        <v>#VALUE!</v>
      </c>
      <c r="C152" s="231"/>
      <c r="D152" s="232"/>
      <c r="E152" s="233"/>
      <c r="F152" s="197"/>
      <c r="G152" s="174">
        <f>IF('VIB SPEC SHEET'!$K$85="NEMA 4",IF(AND(I152&gt;'VIB SPEC SHEET'!$AL$85,AND(H152&lt;=$H$148,H152&lt;=$H$149,H152&lt;=$H$150,H152&lt;=$H$151,H152&lt;=$H$152,H152&lt;=$H$153,H152&lt;=$H$154,H152&lt;=$H$155,H152&lt;=$H$156,H152&lt;=$H$157,H152&lt;=$H$158,H152&lt;=$H$159,H152&lt;=$H$160,H152&lt;=$H$161,H152&lt;=$H$162,H152&lt;=$H$163,H152&lt;=$H$164,H152&lt;=$H$165,H152&lt;=$H$166,H152&lt;=$H$167,H152&lt;=$H$168,H152&lt;=$H$169,H152&lt;=$H$170,H152&lt;=$H$171,H152&lt;=$H$172,H152&lt;=$H$173,H152&lt;=$H$174,H152&lt;=$H$175,H152&lt;=$H$176,H152&lt;=$B$177)),CONCATENATE(J152,"&amp;"),""),"")</f>
      </c>
      <c r="H152" s="176" t="e">
        <f>IF((I152-'VIB SPEC SHEET'!$AL$85)&gt;0,I152-'VIB SPEC SHEET'!$AL$85,10^10)</f>
        <v>#VALUE!</v>
      </c>
      <c r="I152" s="231"/>
      <c r="J152" s="232"/>
      <c r="K152" s="233"/>
      <c r="L152" s="197"/>
      <c r="M152" s="174">
        <f>IF('VIB SPEC SHEET'!$K$85="NEMA 4X SS",IF(AND(O152&gt;'VIB SPEC SHEET'!$AL$85,AND(N152&lt;=$N$148,N152&lt;=$N$149,N152&lt;=$N$150,N152&lt;=$N$151,N152&lt;=$N$152,N152&lt;=$N$153,N152&lt;=$N$154,N152&lt;=$N$155,N152&lt;=$N$156,N152&lt;=$N$157,N152&lt;=$N$158,N152&lt;=$N$159,N152&lt;=$N$160,N152&lt;=$N$161,N152&lt;=$N$162,N152&lt;=$N$163,N152&lt;=$N$164,N152&lt;=$N$165,N152&lt;=$N$166,N152&lt;=$N$167,N152&lt;=$N$168,N152&lt;=$N$169,N152&lt;=$N$170,N152&lt;=$N$171,N152&lt;=$N$172,N152&lt;=$N$173,N152&lt;=$N$174,N152&lt;=$N$175,N152&lt;=$N$176,N152&lt;=$N$177)),CONCATENATE(P152,"&amp;"),""),"")</f>
      </c>
      <c r="N152" s="176" t="e">
        <f>IF((O152-'VIB SPEC SHEET'!$AL$85)&gt;0,O152-'VIB SPEC SHEET'!$AL$85,10^10)</f>
        <v>#VALUE!</v>
      </c>
      <c r="O152" s="231"/>
      <c r="P152" s="232"/>
      <c r="Q152" s="233"/>
      <c r="S152" s="180"/>
      <c r="T152" s="180"/>
      <c r="U152" s="190"/>
      <c r="V152" s="198"/>
    </row>
    <row r="153" spans="1:22" ht="15">
      <c r="A153" s="174">
        <f>IF('VIB SPEC SHEET'!$K$85="NEMA 12",IF(AND(C153&gt;'VIB SPEC SHEET'!$AL$85,AND(B153&lt;=$B$148,B153&lt;=$B$149,B153&lt;=$B$150,B153&lt;=$B$151,B153&lt;=$B$152,B153&lt;=$B$153,B153&lt;=$B$154,B153&lt;=$B$155,B153&lt;=$B$156,B153&lt;=$B$157,B153&lt;=$B$158,B153&lt;=$B$159,B153&lt;=$B$160,B153&lt;=$B$161,B153&lt;=$B$162,B153&lt;=$B$163,B153&lt;=$B$164,B153&lt;=$B$165,B153&lt;=$B$166,B153&lt;=$B$167,B153&lt;=$B$168,B153&lt;=$B$169,B153&lt;=$B$170,B153&lt;=$B$171,B153&lt;=$B$172,B153&lt;=$B$173,B153&lt;=$B$174,B153&lt;=$B$175,B153&lt;=$B$176,B153&lt;=$B$177)),CONCATENATE(D153,"&amp;"),""),"")</f>
      </c>
      <c r="B153" s="176" t="e">
        <f>IF((C153-'VIB SPEC SHEET'!$AL$85)&gt;0,C153-'VIB SPEC SHEET'!$AL$85,10^10)</f>
        <v>#VALUE!</v>
      </c>
      <c r="C153" s="231"/>
      <c r="D153" s="232"/>
      <c r="E153" s="233"/>
      <c r="F153" s="197"/>
      <c r="G153" s="174">
        <f>IF('VIB SPEC SHEET'!$K$85="NEMA 4",IF(AND(I153&gt;'VIB SPEC SHEET'!$AL$85,AND(H153&lt;=$H$148,H153&lt;=$H$149,H153&lt;=$H$150,H153&lt;=$H$151,H153&lt;=$H$152,H153&lt;=$H$153,H153&lt;=$H$154,H153&lt;=$H$155,H153&lt;=$H$156,H153&lt;=$H$157,H153&lt;=$H$158,H153&lt;=$H$159,H153&lt;=$H$160,H153&lt;=$H$161,H153&lt;=$H$162,H153&lt;=$H$163,H153&lt;=$H$164,H153&lt;=$H$165,H153&lt;=$H$166,H153&lt;=$H$167,H153&lt;=$H$168,H153&lt;=$H$169,H153&lt;=$H$170,H153&lt;=$H$171,H153&lt;=$H$172,H153&lt;=$H$173,H153&lt;=$H$174,H153&lt;=$H$175,H153&lt;=$H$176,H153&lt;=$B$177)),CONCATENATE(J153,"&amp;"),""),"")</f>
      </c>
      <c r="H153" s="176" t="e">
        <f>IF((I153-'VIB SPEC SHEET'!$AL$85)&gt;0,I153-'VIB SPEC SHEET'!$AL$85,10^10)</f>
        <v>#VALUE!</v>
      </c>
      <c r="I153" s="231"/>
      <c r="J153" s="232"/>
      <c r="K153" s="233"/>
      <c r="L153" s="197"/>
      <c r="M153" s="174">
        <f>IF('VIB SPEC SHEET'!$K$85="NEMA 4X SS",IF(AND(O153&gt;'VIB SPEC SHEET'!$AL$85,AND(N153&lt;=$N$148,N153&lt;=$N$149,N153&lt;=$N$150,N153&lt;=$N$151,N153&lt;=$N$152,N153&lt;=$N$153,N153&lt;=$N$154,N153&lt;=$N$155,N153&lt;=$N$156,N153&lt;=$N$157,N153&lt;=$N$158,N153&lt;=$N$159,N153&lt;=$N$160,N153&lt;=$N$161,N153&lt;=$N$162,N153&lt;=$N$163,N153&lt;=$N$164,N153&lt;=$N$165,N153&lt;=$N$166,N153&lt;=$N$167,N153&lt;=$N$168,N153&lt;=$N$169,N153&lt;=$N$170,N153&lt;=$N$171,N153&lt;=$N$172,N153&lt;=$N$173,N153&lt;=$N$174,N153&lt;=$N$175,N153&lt;=$N$176,N153&lt;=$N$177)),CONCATENATE(P153,"&amp;"),""),"")</f>
      </c>
      <c r="N153" s="176" t="e">
        <f>IF((O153-'VIB SPEC SHEET'!$AL$85)&gt;0,O153-'VIB SPEC SHEET'!$AL$85,10^10)</f>
        <v>#VALUE!</v>
      </c>
      <c r="O153" s="231"/>
      <c r="P153" s="232"/>
      <c r="Q153" s="233"/>
      <c r="S153" s="180"/>
      <c r="T153" s="180"/>
      <c r="U153" s="190"/>
      <c r="V153" s="198"/>
    </row>
    <row r="154" spans="1:22" ht="15">
      <c r="A154" s="174">
        <f>IF('VIB SPEC SHEET'!$K$85="NEMA 12",IF(AND(C154&gt;'VIB SPEC SHEET'!$AL$85,AND(B154&lt;=$B$148,B154&lt;=$B$149,B154&lt;=$B$150,B154&lt;=$B$151,B154&lt;=$B$152,B154&lt;=$B$153,B154&lt;=$B$154,B154&lt;=$B$155,B154&lt;=$B$156,B154&lt;=$B$157,B154&lt;=$B$158,B154&lt;=$B$159,B154&lt;=$B$160,B154&lt;=$B$161,B154&lt;=$B$162,B154&lt;=$B$163,B154&lt;=$B$164,B154&lt;=$B$165,B154&lt;=$B$166,B154&lt;=$B$167,B154&lt;=$B$168,B154&lt;=$B$169,B154&lt;=$B$170,B154&lt;=$B$171,B154&lt;=$B$172,B154&lt;=$B$173,B154&lt;=$B$174,B154&lt;=$B$175,B154&lt;=$B$176,B154&lt;=$B$177)),CONCATENATE(D154,"&amp;"),""),"")</f>
      </c>
      <c r="B154" s="176" t="e">
        <f>IF((C154-'VIB SPEC SHEET'!$AL$85)&gt;0,C154-'VIB SPEC SHEET'!$AL$85,10^10)</f>
        <v>#VALUE!</v>
      </c>
      <c r="C154" s="231"/>
      <c r="D154" s="232"/>
      <c r="E154" s="233"/>
      <c r="F154" s="197"/>
      <c r="G154" s="174">
        <f>IF('VIB SPEC SHEET'!$K$85="NEMA 4",IF(AND(I154&gt;'VIB SPEC SHEET'!$AL$85,AND(H154&lt;=$H$148,H154&lt;=$H$149,H154&lt;=$H$150,H154&lt;=$H$151,H154&lt;=$H$152,H154&lt;=$H$153,H154&lt;=$H$154,H154&lt;=$H$155,H154&lt;=$H$156,H154&lt;=$H$157,H154&lt;=$H$158,H154&lt;=$H$159,H154&lt;=$H$160,H154&lt;=$H$161,H154&lt;=$H$162,H154&lt;=$H$163,H154&lt;=$H$164,H154&lt;=$H$165,H154&lt;=$H$166,H154&lt;=$H$167,H154&lt;=$H$168,H154&lt;=$H$169,H154&lt;=$H$170,H154&lt;=$H$171,H154&lt;=$H$172,H154&lt;=$H$173,H154&lt;=$H$174,H154&lt;=$H$175,H154&lt;=$H$176,H154&lt;=$B$177)),CONCATENATE(J154,"&amp;"),""),"")</f>
      </c>
      <c r="H154" s="176" t="e">
        <f>IF((I154-'VIB SPEC SHEET'!$AL$85)&gt;0,I154-'VIB SPEC SHEET'!$AL$85,10^10)</f>
        <v>#VALUE!</v>
      </c>
      <c r="I154" s="231"/>
      <c r="J154" s="232"/>
      <c r="K154" s="233"/>
      <c r="L154" s="197"/>
      <c r="M154" s="174">
        <f>IF('VIB SPEC SHEET'!$K$85="NEMA 4X SS",IF(AND(O154&gt;'VIB SPEC SHEET'!$AL$85,AND(N154&lt;=$N$148,N154&lt;=$N$149,N154&lt;=$N$150,N154&lt;=$N$151,N154&lt;=$N$152,N154&lt;=$N$153,N154&lt;=$N$154,N154&lt;=$N$155,N154&lt;=$N$156,N154&lt;=$N$157,N154&lt;=$N$158,N154&lt;=$N$159,N154&lt;=$N$160,N154&lt;=$N$161,N154&lt;=$N$162,N154&lt;=$N$163,N154&lt;=$N$164,N154&lt;=$N$165,N154&lt;=$N$166,N154&lt;=$N$167,N154&lt;=$N$168,N154&lt;=$N$169,N154&lt;=$N$170,N154&lt;=$N$171,N154&lt;=$N$172,N154&lt;=$N$173,N154&lt;=$N$174,N154&lt;=$N$175,N154&lt;=$N$176,N154&lt;=$N$177)),CONCATENATE(P154,"&amp;"),""),"")</f>
      </c>
      <c r="N154" s="176" t="e">
        <f>IF((O154-'VIB SPEC SHEET'!$AL$85)&gt;0,O154-'VIB SPEC SHEET'!$AL$85,10^10)</f>
        <v>#VALUE!</v>
      </c>
      <c r="O154" s="231"/>
      <c r="P154" s="232"/>
      <c r="Q154" s="233"/>
      <c r="S154" s="180"/>
      <c r="T154" s="180"/>
      <c r="U154" s="190"/>
      <c r="V154" s="198"/>
    </row>
    <row r="155" spans="1:22" ht="15">
      <c r="A155" s="174">
        <f>IF('VIB SPEC SHEET'!$K$85="NEMA 12",IF(AND(C155&gt;'VIB SPEC SHEET'!$AL$85,AND(B155&lt;=$B$148,B155&lt;=$B$149,B155&lt;=$B$150,B155&lt;=$B$151,B155&lt;=$B$152,B155&lt;=$B$153,B155&lt;=$B$154,B155&lt;=$B$155,B155&lt;=$B$156,B155&lt;=$B$157,B155&lt;=$B$158,B155&lt;=$B$159,B155&lt;=$B$160,B155&lt;=$B$161,B155&lt;=$B$162,B155&lt;=$B$163,B155&lt;=$B$164,B155&lt;=$B$165,B155&lt;=$B$166,B155&lt;=$B$167,B155&lt;=$B$168,B155&lt;=$B$169,B155&lt;=$B$170,B155&lt;=$B$171,B155&lt;=$B$172,B155&lt;=$B$173,B155&lt;=$B$174,B155&lt;=$B$175,B155&lt;=$B$176,B155&lt;=$B$177)),CONCATENATE(D155,"&amp;"),""),"")</f>
      </c>
      <c r="B155" s="176" t="e">
        <f>IF((C155-'VIB SPEC SHEET'!$AL$85)&gt;0,C155-'VIB SPEC SHEET'!$AL$85,10^10)</f>
        <v>#VALUE!</v>
      </c>
      <c r="C155" s="231"/>
      <c r="D155" s="232"/>
      <c r="E155" s="233"/>
      <c r="F155" s="197"/>
      <c r="G155" s="174">
        <f>IF('VIB SPEC SHEET'!$K$85="NEMA 4",IF(AND(I155&gt;'VIB SPEC SHEET'!$AL$85,AND(H155&lt;=$H$148,H155&lt;=$H$149,H155&lt;=$H$150,H155&lt;=$H$151,H155&lt;=$H$152,H155&lt;=$H$153,H155&lt;=$H$154,H155&lt;=$H$155,H155&lt;=$H$156,H155&lt;=$H$157,H155&lt;=$H$158,H155&lt;=$H$159,H155&lt;=$H$160,H155&lt;=$H$161,H155&lt;=$H$162,H155&lt;=$H$163,H155&lt;=$H$164,H155&lt;=$H$165,H155&lt;=$H$166,H155&lt;=$H$167,H155&lt;=$H$168,H155&lt;=$H$169,H155&lt;=$H$170,H155&lt;=$H$171,H155&lt;=$H$172,H155&lt;=$H$173,H155&lt;=$H$174,H155&lt;=$H$175,H155&lt;=$H$176,H155&lt;=$B$177)),CONCATENATE(J155,"&amp;"),""),"")</f>
      </c>
      <c r="H155" s="176" t="e">
        <f>IF((I155-'VIB SPEC SHEET'!$AL$85)&gt;0,I155-'VIB SPEC SHEET'!$AL$85,10^10)</f>
        <v>#VALUE!</v>
      </c>
      <c r="I155" s="231"/>
      <c r="J155" s="232"/>
      <c r="K155" s="233"/>
      <c r="L155" s="197"/>
      <c r="M155" s="174">
        <f>IF('VIB SPEC SHEET'!$K$85="NEMA 4X SS",IF(AND(O155&gt;'VIB SPEC SHEET'!$AL$85,AND(N155&lt;=$N$148,N155&lt;=$N$149,N155&lt;=$N$150,N155&lt;=$N$151,N155&lt;=$N$152,N155&lt;=$N$153,N155&lt;=$N$154,N155&lt;=$N$155,N155&lt;=$N$156,N155&lt;=$N$157,N155&lt;=$N$158,N155&lt;=$N$159,N155&lt;=$N$160,N155&lt;=$N$161,N155&lt;=$N$162,N155&lt;=$N$163,N155&lt;=$N$164,N155&lt;=$N$165,N155&lt;=$N$166,N155&lt;=$N$167,N155&lt;=$N$168,N155&lt;=$N$169,N155&lt;=$N$170,N155&lt;=$N$171,N155&lt;=$N$172,N155&lt;=$N$173,N155&lt;=$N$174,N155&lt;=$N$175,N155&lt;=$N$176,N155&lt;=$N$177)),CONCATENATE(P155,"&amp;"),""),"")</f>
      </c>
      <c r="N155" s="176" t="e">
        <f>IF((O155-'VIB SPEC SHEET'!$AL$85)&gt;0,O155-'VIB SPEC SHEET'!$AL$85,10^10)</f>
        <v>#VALUE!</v>
      </c>
      <c r="O155" s="231"/>
      <c r="P155" s="232"/>
      <c r="Q155" s="233"/>
      <c r="S155" s="180"/>
      <c r="T155" s="180"/>
      <c r="U155" s="190"/>
      <c r="V155" s="198"/>
    </row>
    <row r="156" spans="1:22" ht="15">
      <c r="A156" s="174">
        <f>IF('VIB SPEC SHEET'!$K$85="NEMA 12",IF(AND(C156&gt;'VIB SPEC SHEET'!$AL$85,AND(B156&lt;=$B$148,B156&lt;=$B$149,B156&lt;=$B$150,B156&lt;=$B$151,B156&lt;=$B$152,B156&lt;=$B$153,B156&lt;=$B$154,B156&lt;=$B$155,B156&lt;=$B$156,B156&lt;=$B$157,B156&lt;=$B$158,B156&lt;=$B$159,B156&lt;=$B$160,B156&lt;=$B$161,B156&lt;=$B$162,B156&lt;=$B$163,B156&lt;=$B$164,B156&lt;=$B$165,B156&lt;=$B$166,B156&lt;=$B$167,B156&lt;=$B$168,B156&lt;=$B$169,B156&lt;=$B$170,B156&lt;=$B$171,B156&lt;=$B$172,B156&lt;=$B$173,B156&lt;=$B$174,B156&lt;=$B$175,B156&lt;=$B$176,B156&lt;=$B$177)),CONCATENATE(D156,"&amp;"),""),"")</f>
      </c>
      <c r="B156" s="176" t="e">
        <f>IF((C156-'VIB SPEC SHEET'!$AL$85)&gt;0,C156-'VIB SPEC SHEET'!$AL$85,10^10)</f>
        <v>#VALUE!</v>
      </c>
      <c r="C156" s="231"/>
      <c r="D156" s="232"/>
      <c r="E156" s="233"/>
      <c r="F156" s="197"/>
      <c r="G156" s="174">
        <f>IF('VIB SPEC SHEET'!$K$85="NEMA 4",IF(AND(I156&gt;'VIB SPEC SHEET'!$AL$85,AND(H156&lt;=$H$148,H156&lt;=$H$149,H156&lt;=$H$150,H156&lt;=$H$151,H156&lt;=$H$152,H156&lt;=$H$153,H156&lt;=$H$154,H156&lt;=$H$155,H156&lt;=$H$156,H156&lt;=$H$157,H156&lt;=$H$158,H156&lt;=$H$159,H156&lt;=$H$160,H156&lt;=$H$161,H156&lt;=$H$162,H156&lt;=$H$163,H156&lt;=$H$164,H156&lt;=$H$165,H156&lt;=$H$166,H156&lt;=$H$167,H156&lt;=$H$168,H156&lt;=$H$169,H156&lt;=$H$170,H156&lt;=$H$171,H156&lt;=$H$172,H156&lt;=$H$173,H156&lt;=$H$174,H156&lt;=$H$175,H156&lt;=$H$176,H156&lt;=$B$177)),CONCATENATE(J156,"&amp;"),""),"")</f>
      </c>
      <c r="H156" s="176" t="e">
        <f>IF((I156-'VIB SPEC SHEET'!$AL$85)&gt;0,I156-'VIB SPEC SHEET'!$AL$85,10^10)</f>
        <v>#VALUE!</v>
      </c>
      <c r="I156" s="231"/>
      <c r="J156" s="232"/>
      <c r="K156" s="233"/>
      <c r="L156" s="197"/>
      <c r="M156" s="174">
        <f>IF('VIB SPEC SHEET'!$K$85="NEMA 4X SS",IF(AND(O156&gt;'VIB SPEC SHEET'!$AL$85,AND(N156&lt;=$N$148,N156&lt;=$N$149,N156&lt;=$N$150,N156&lt;=$N$151,N156&lt;=$N$152,N156&lt;=$N$153,N156&lt;=$N$154,N156&lt;=$N$155,N156&lt;=$N$156,N156&lt;=$N$157,N156&lt;=$N$158,N156&lt;=$N$159,N156&lt;=$N$160,N156&lt;=$N$161,N156&lt;=$N$162,N156&lt;=$N$163,N156&lt;=$N$164,N156&lt;=$N$165,N156&lt;=$N$166,N156&lt;=$N$167,N156&lt;=$N$168,N156&lt;=$N$169,N156&lt;=$N$170,N156&lt;=$N$171,N156&lt;=$N$172,N156&lt;=$N$173,N156&lt;=$N$174,N156&lt;=$N$175,N156&lt;=$N$176,N156&lt;=$N$177)),CONCATENATE(P156,"&amp;"),""),"")</f>
      </c>
      <c r="N156" s="176" t="e">
        <f>IF((O156-'VIB SPEC SHEET'!$AL$85)&gt;0,O156-'VIB SPEC SHEET'!$AL$85,10^10)</f>
        <v>#VALUE!</v>
      </c>
      <c r="O156" s="231"/>
      <c r="P156" s="232"/>
      <c r="Q156" s="233"/>
      <c r="S156" s="180"/>
      <c r="T156" s="180"/>
      <c r="U156" s="190"/>
      <c r="V156" s="198"/>
    </row>
    <row r="157" spans="1:22" ht="15">
      <c r="A157" s="174">
        <f>IF('VIB SPEC SHEET'!$K$85="NEMA 12",IF(AND(C157&gt;'VIB SPEC SHEET'!$AL$85,AND(B157&lt;=$B$148,B157&lt;=$B$149,B157&lt;=$B$150,B157&lt;=$B$151,B157&lt;=$B$152,B157&lt;=$B$153,B157&lt;=$B$154,B157&lt;=$B$155,B157&lt;=$B$156,B157&lt;=$B$157,B157&lt;=$B$158,B157&lt;=$B$159,B157&lt;=$B$160,B157&lt;=$B$161,B157&lt;=$B$162,B157&lt;=$B$163,B157&lt;=$B$164,B157&lt;=$B$165,B157&lt;=$B$166,B157&lt;=$B$167,B157&lt;=$B$168,B157&lt;=$B$169,B157&lt;=$B$170,B157&lt;=$B$171,B157&lt;=$B$172,B157&lt;=$B$173,B157&lt;=$B$174,B157&lt;=$B$175,B157&lt;=$B$176,B157&lt;=$B$177)),CONCATENATE(D157,"&amp;"),""),"")</f>
      </c>
      <c r="B157" s="176" t="e">
        <f>IF((C157-'VIB SPEC SHEET'!$AL$85)&gt;0,C157-'VIB SPEC SHEET'!$AL$85,10^10)</f>
        <v>#VALUE!</v>
      </c>
      <c r="C157" s="231"/>
      <c r="D157" s="232"/>
      <c r="E157" s="233"/>
      <c r="F157" s="197"/>
      <c r="G157" s="174">
        <f>IF('VIB SPEC SHEET'!$K$85="NEMA 4",IF(AND(I157&gt;'VIB SPEC SHEET'!$AL$85,AND(H157&lt;=$H$148,H157&lt;=$H$149,H157&lt;=$H$150,H157&lt;=$H$151,H157&lt;=$H$152,H157&lt;=$H$153,H157&lt;=$H$154,H157&lt;=$H$155,H157&lt;=$H$156,H157&lt;=$H$157,H157&lt;=$H$158,H157&lt;=$H$159,H157&lt;=$H$160,H157&lt;=$H$161,H157&lt;=$H$162,H157&lt;=$H$163,H157&lt;=$H$164,H157&lt;=$H$165,H157&lt;=$H$166,H157&lt;=$H$167,H157&lt;=$H$168,H157&lt;=$H$169,H157&lt;=$H$170,H157&lt;=$H$171,H157&lt;=$H$172,H157&lt;=$H$173,H157&lt;=$H$174,H157&lt;=$H$175,H157&lt;=$H$176,H157&lt;=$B$177)),CONCATENATE(J157,"&amp;"),""),"")</f>
      </c>
      <c r="H157" s="176" t="e">
        <f>IF((I157-'VIB SPEC SHEET'!$AL$85)&gt;0,I157-'VIB SPEC SHEET'!$AL$85,10^10)</f>
        <v>#VALUE!</v>
      </c>
      <c r="I157" s="231"/>
      <c r="J157" s="232"/>
      <c r="K157" s="233"/>
      <c r="L157" s="197"/>
      <c r="M157" s="174">
        <f>IF('VIB SPEC SHEET'!$K$85="NEMA 4X SS",IF(AND(O157&gt;'VIB SPEC SHEET'!$AL$85,AND(N157&lt;=$N$148,N157&lt;=$N$149,N157&lt;=$N$150,N157&lt;=$N$151,N157&lt;=$N$152,N157&lt;=$N$153,N157&lt;=$N$154,N157&lt;=$N$155,N157&lt;=$N$156,N157&lt;=$N$157,N157&lt;=$N$158,N157&lt;=$N$159,N157&lt;=$N$160,N157&lt;=$N$161,N157&lt;=$N$162,N157&lt;=$N$163,N157&lt;=$N$164,N157&lt;=$N$165,N157&lt;=$N$166,N157&lt;=$N$167,N157&lt;=$N$168,N157&lt;=$N$169,N157&lt;=$N$170,N157&lt;=$N$171,N157&lt;=$N$172,N157&lt;=$N$173,N157&lt;=$N$174,N157&lt;=$N$175,N157&lt;=$N$176,N157&lt;=$N$177)),CONCATENATE(P157,"&amp;"),""),"")</f>
      </c>
      <c r="N157" s="176" t="e">
        <f>IF((O157-'VIB SPEC SHEET'!$AL$85)&gt;0,O157-'VIB SPEC SHEET'!$AL$85,10^10)</f>
        <v>#VALUE!</v>
      </c>
      <c r="O157" s="231"/>
      <c r="P157" s="232"/>
      <c r="Q157" s="233"/>
      <c r="S157" s="180"/>
      <c r="T157" s="180"/>
      <c r="U157" s="190"/>
      <c r="V157" s="198"/>
    </row>
    <row r="158" spans="1:22" ht="15">
      <c r="A158" s="174">
        <f>IF('VIB SPEC SHEET'!$K$85="NEMA 12",IF(AND(C158&gt;'VIB SPEC SHEET'!$AL$85,AND(B158&lt;=$B$148,B158&lt;=$B$149,B158&lt;=$B$150,B158&lt;=$B$151,B158&lt;=$B$152,B158&lt;=$B$153,B158&lt;=$B$154,B158&lt;=$B$155,B158&lt;=$B$156,B158&lt;=$B$157,B158&lt;=$B$158,B158&lt;=$B$159,B158&lt;=$B$160,B158&lt;=$B$161,B158&lt;=$B$162,B158&lt;=$B$163,B158&lt;=$B$164,B158&lt;=$B$165,B158&lt;=$B$166,B158&lt;=$B$167,B158&lt;=$B$168,B158&lt;=$B$169,B158&lt;=$B$170,B158&lt;=$B$171,B158&lt;=$B$172,B158&lt;=$B$173,B158&lt;=$B$174,B158&lt;=$B$175,B158&lt;=$B$176,B158&lt;=$B$177)),CONCATENATE(D158,"&amp;"),""),"")</f>
      </c>
      <c r="B158" s="176" t="e">
        <f>IF((C158-'VIB SPEC SHEET'!$AL$85)&gt;0,C158-'VIB SPEC SHEET'!$AL$85,10^10)</f>
        <v>#VALUE!</v>
      </c>
      <c r="C158" s="231"/>
      <c r="D158" s="232"/>
      <c r="E158" s="233"/>
      <c r="F158" s="197"/>
      <c r="G158" s="174">
        <f>IF('VIB SPEC SHEET'!$K$85="NEMA 4",IF(AND(I158&gt;'VIB SPEC SHEET'!$AL$85,AND(H158&lt;=$H$148,H158&lt;=$H$149,H158&lt;=$H$150,H158&lt;=$H$151,H158&lt;=$H$152,H158&lt;=$H$153,H158&lt;=$H$154,H158&lt;=$H$155,H158&lt;=$H$156,H158&lt;=$H$157,H158&lt;=$H$158,H158&lt;=$H$159,H158&lt;=$H$160,H158&lt;=$H$161,H158&lt;=$H$162,H158&lt;=$H$163,H158&lt;=$H$164,H158&lt;=$H$165,H158&lt;=$H$166,H158&lt;=$H$167,H158&lt;=$H$168,H158&lt;=$H$169,H158&lt;=$H$170,H158&lt;=$H$171,H158&lt;=$H$172,H158&lt;=$H$173,H158&lt;=$H$174,H158&lt;=$H$175,H158&lt;=$H$176,H158&lt;=$B$177)),CONCATENATE(J158,"&amp;"),""),"")</f>
      </c>
      <c r="H158" s="176" t="e">
        <f>IF((I158-'VIB SPEC SHEET'!$AL$85)&gt;0,I158-'VIB SPEC SHEET'!$AL$85,10^10)</f>
        <v>#VALUE!</v>
      </c>
      <c r="I158" s="231"/>
      <c r="J158" s="232"/>
      <c r="K158" s="233"/>
      <c r="L158" s="197"/>
      <c r="M158" s="174">
        <f>IF('VIB SPEC SHEET'!$K$85="NEMA 4X SS",IF(AND(O158&gt;'VIB SPEC SHEET'!$AL$85,AND(N158&lt;=$N$148,N158&lt;=$N$149,N158&lt;=$N$150,N158&lt;=$N$151,N158&lt;=$N$152,N158&lt;=$N$153,N158&lt;=$N$154,N158&lt;=$N$155,N158&lt;=$N$156,N158&lt;=$N$157,N158&lt;=$N$158,N158&lt;=$N$159,N158&lt;=$N$160,N158&lt;=$N$161,N158&lt;=$N$162,N158&lt;=$N$163,N158&lt;=$N$164,N158&lt;=$N$165,N158&lt;=$N$166,N158&lt;=$N$167,N158&lt;=$N$168,N158&lt;=$N$169,N158&lt;=$N$170,N158&lt;=$N$171,N158&lt;=$N$172,N158&lt;=$N$173,N158&lt;=$N$174,N158&lt;=$N$175,N158&lt;=$N$176,N158&lt;=$N$177)),CONCATENATE(P158,"&amp;"),""),"")</f>
      </c>
      <c r="N158" s="176" t="e">
        <f>IF((O158-'VIB SPEC SHEET'!$AL$85)&gt;0,O158-'VIB SPEC SHEET'!$AL$85,10^10)</f>
        <v>#VALUE!</v>
      </c>
      <c r="O158" s="231"/>
      <c r="P158" s="232"/>
      <c r="Q158" s="233"/>
      <c r="S158" s="180"/>
      <c r="T158" s="180"/>
      <c r="U158" s="190"/>
      <c r="V158" s="198"/>
    </row>
    <row r="159" spans="1:22" ht="15">
      <c r="A159" s="174">
        <f>IF('VIB SPEC SHEET'!$K$85="NEMA 12",IF(AND(C159&gt;'VIB SPEC SHEET'!$AL$85,AND(B159&lt;=$B$148,B159&lt;=$B$149,B159&lt;=$B$150,B159&lt;=$B$151,B159&lt;=$B$152,B159&lt;=$B$153,B159&lt;=$B$154,B159&lt;=$B$155,B159&lt;=$B$156,B159&lt;=$B$157,B159&lt;=$B$158,B159&lt;=$B$159,B159&lt;=$B$160,B159&lt;=$B$161,B159&lt;=$B$162,B159&lt;=$B$163,B159&lt;=$B$164,B159&lt;=$B$165,B159&lt;=$B$166,B159&lt;=$B$167,B159&lt;=$B$168,B159&lt;=$B$169,B159&lt;=$B$170,B159&lt;=$B$171,B159&lt;=$B$172,B159&lt;=$B$173,B159&lt;=$B$174,B159&lt;=$B$175,B159&lt;=$B$176,B159&lt;=$B$177)),CONCATENATE(D159,"&amp;"),""),"")</f>
      </c>
      <c r="B159" s="176" t="e">
        <f>IF((C159-'VIB SPEC SHEET'!$AL$85)&gt;0,C159-'VIB SPEC SHEET'!$AL$85,10^10)</f>
        <v>#VALUE!</v>
      </c>
      <c r="C159" s="231"/>
      <c r="D159" s="232"/>
      <c r="E159" s="233"/>
      <c r="F159" s="197"/>
      <c r="G159" s="174">
        <f>IF('VIB SPEC SHEET'!$K$85="NEMA 4",IF(AND(I159&gt;'VIB SPEC SHEET'!$AL$85,AND(H159&lt;=$H$148,H159&lt;=$H$149,H159&lt;=$H$150,H159&lt;=$H$151,H159&lt;=$H$152,H159&lt;=$H$153,H159&lt;=$H$154,H159&lt;=$H$155,H159&lt;=$H$156,H159&lt;=$H$157,H159&lt;=$H$158,H159&lt;=$H$159,H159&lt;=$H$160,H159&lt;=$H$161,H159&lt;=$H$162,H159&lt;=$H$163,H159&lt;=$H$164,H159&lt;=$H$165,H159&lt;=$H$166,H159&lt;=$H$167,H159&lt;=$H$168,H159&lt;=$H$169,H159&lt;=$H$170,H159&lt;=$H$171,H159&lt;=$H$172,H159&lt;=$H$173,H159&lt;=$H$174,H159&lt;=$H$175,H159&lt;=$H$176,H159&lt;=$B$177)),CONCATENATE(J159,"&amp;"),""),"")</f>
      </c>
      <c r="H159" s="176" t="e">
        <f>IF((I159-'VIB SPEC SHEET'!$AL$85)&gt;0,I159-'VIB SPEC SHEET'!$AL$85,10^10)</f>
        <v>#VALUE!</v>
      </c>
      <c r="I159" s="231"/>
      <c r="J159" s="232"/>
      <c r="K159" s="233"/>
      <c r="L159" s="197"/>
      <c r="M159" s="174">
        <f>IF('VIB SPEC SHEET'!$K$85="NEMA 4X SS",IF(AND(O159&gt;'VIB SPEC SHEET'!$AL$85,AND(N159&lt;=$N$148,N159&lt;=$N$149,N159&lt;=$N$150,N159&lt;=$N$151,N159&lt;=$N$152,N159&lt;=$N$153,N159&lt;=$N$154,N159&lt;=$N$155,N159&lt;=$N$156,N159&lt;=$N$157,N159&lt;=$N$158,N159&lt;=$N$159,N159&lt;=$N$160,N159&lt;=$N$161,N159&lt;=$N$162,N159&lt;=$N$163,N159&lt;=$N$164,N159&lt;=$N$165,N159&lt;=$N$166,N159&lt;=$N$167,N159&lt;=$N$168,N159&lt;=$N$169,N159&lt;=$N$170,N159&lt;=$N$171,N159&lt;=$N$172,N159&lt;=$N$173,N159&lt;=$N$174,N159&lt;=$N$175,N159&lt;=$N$176,N159&lt;=$N$177)),CONCATENATE(P159,"&amp;"),""),"")</f>
      </c>
      <c r="N159" s="176" t="e">
        <f>IF((O159-'VIB SPEC SHEET'!$AL$85)&gt;0,O159-'VIB SPEC SHEET'!$AL$85,10^10)</f>
        <v>#VALUE!</v>
      </c>
      <c r="O159" s="231"/>
      <c r="P159" s="232"/>
      <c r="Q159" s="233"/>
      <c r="S159" s="180"/>
      <c r="T159" s="180"/>
      <c r="U159" s="190"/>
      <c r="V159" s="198"/>
    </row>
    <row r="160" spans="1:22" ht="15">
      <c r="A160" s="174">
        <f>IF('VIB SPEC SHEET'!$K$85="NEMA 12",IF(AND(C160&gt;'VIB SPEC SHEET'!$AL$85,AND(B160&lt;=$B$148,B160&lt;=$B$149,B160&lt;=$B$150,B160&lt;=$B$151,B160&lt;=$B$152,B160&lt;=$B$153,B160&lt;=$B$154,B160&lt;=$B$155,B160&lt;=$B$156,B160&lt;=$B$157,B160&lt;=$B$158,B160&lt;=$B$159,B160&lt;=$B$160,B160&lt;=$B$161,B160&lt;=$B$162,B160&lt;=$B$163,B160&lt;=$B$164,B160&lt;=$B$165,B160&lt;=$B$166,B160&lt;=$B$167,B160&lt;=$B$168,B160&lt;=$B$169,B160&lt;=$B$170,B160&lt;=$B$171,B160&lt;=$B$172,B160&lt;=$B$173,B160&lt;=$B$174,B160&lt;=$B$175,B160&lt;=$B$176,B160&lt;=$B$177)),CONCATENATE(D160,"&amp;"),""),"")</f>
      </c>
      <c r="B160" s="176" t="e">
        <f>IF((C160-'VIB SPEC SHEET'!$AL$85)&gt;0,C160-'VIB SPEC SHEET'!$AL$85,10^10)</f>
        <v>#VALUE!</v>
      </c>
      <c r="C160" s="231"/>
      <c r="D160" s="232"/>
      <c r="E160" s="233"/>
      <c r="F160" s="197"/>
      <c r="G160" s="174">
        <f>IF('VIB SPEC SHEET'!$K$85="NEMA 4",IF(AND(I160&gt;'VIB SPEC SHEET'!$AL$85,AND(H160&lt;=$H$148,H160&lt;=$H$149,H160&lt;=$H$150,H160&lt;=$H$151,H160&lt;=$H$152,H160&lt;=$H$153,H160&lt;=$H$154,H160&lt;=$H$155,H160&lt;=$H$156,H160&lt;=$H$157,H160&lt;=$H$158,H160&lt;=$H$159,H160&lt;=$H$160,H160&lt;=$H$161,H160&lt;=$H$162,H160&lt;=$H$163,H160&lt;=$H$164,H160&lt;=$H$165,H160&lt;=$H$166,H160&lt;=$H$167,H160&lt;=$H$168,H160&lt;=$H$169,H160&lt;=$H$170,H160&lt;=$H$171,H160&lt;=$H$172,H160&lt;=$H$173,H160&lt;=$H$174,H160&lt;=$H$175,H160&lt;=$H$176,H160&lt;=$B$177)),CONCATENATE(J160,"&amp;"),""),"")</f>
      </c>
      <c r="H160" s="176" t="e">
        <f>IF((I160-'VIB SPEC SHEET'!$AL$85)&gt;0,I160-'VIB SPEC SHEET'!$AL$85,10^10)</f>
        <v>#VALUE!</v>
      </c>
      <c r="I160" s="231"/>
      <c r="J160" s="232"/>
      <c r="K160" s="233"/>
      <c r="L160" s="197"/>
      <c r="M160" s="174">
        <f>IF('VIB SPEC SHEET'!$K$85="NEMA 4X SS",IF(AND(O160&gt;'VIB SPEC SHEET'!$AL$85,AND(N160&lt;=$N$148,N160&lt;=$N$149,N160&lt;=$N$150,N160&lt;=$N$151,N160&lt;=$N$152,N160&lt;=$N$153,N160&lt;=$N$154,N160&lt;=$N$155,N160&lt;=$N$156,N160&lt;=$N$157,N160&lt;=$N$158,N160&lt;=$N$159,N160&lt;=$N$160,N160&lt;=$N$161,N160&lt;=$N$162,N160&lt;=$N$163,N160&lt;=$N$164,N160&lt;=$N$165,N160&lt;=$N$166,N160&lt;=$N$167,N160&lt;=$N$168,N160&lt;=$N$169,N160&lt;=$N$170,N160&lt;=$N$171,N160&lt;=$N$172,N160&lt;=$N$173,N160&lt;=$N$174,N160&lt;=$N$175,N160&lt;=$N$176,N160&lt;=$N$177)),CONCATENATE(P160,"&amp;"),""),"")</f>
      </c>
      <c r="N160" s="176" t="e">
        <f>IF((O160-'VIB SPEC SHEET'!$AL$85)&gt;0,O160-'VIB SPEC SHEET'!$AL$85,10^10)</f>
        <v>#VALUE!</v>
      </c>
      <c r="O160" s="231"/>
      <c r="P160" s="232"/>
      <c r="Q160" s="233"/>
      <c r="S160" s="180"/>
      <c r="T160" s="180"/>
      <c r="U160" s="190"/>
      <c r="V160" s="198"/>
    </row>
    <row r="161" spans="1:22" ht="15">
      <c r="A161" s="174">
        <f>IF('VIB SPEC SHEET'!$K$85="NEMA 12",IF(AND(C161&gt;'VIB SPEC SHEET'!$AL$85,AND(B161&lt;=$B$148,B161&lt;=$B$149,B161&lt;=$B$150,B161&lt;=$B$151,B161&lt;=$B$152,B161&lt;=$B$153,B161&lt;=$B$154,B161&lt;=$B$155,B161&lt;=$B$156,B161&lt;=$B$157,B161&lt;=$B$158,B161&lt;=$B$159,B161&lt;=$B$160,B161&lt;=$B$161,B161&lt;=$B$162,B161&lt;=$B$163,B161&lt;=$B$164,B161&lt;=$B$165,B161&lt;=$B$166,B161&lt;=$B$167,B161&lt;=$B$168,B161&lt;=$B$169,B161&lt;=$B$170,B161&lt;=$B$171,B161&lt;=$B$172,B161&lt;=$B$173,B161&lt;=$B$174,B161&lt;=$B$175,B161&lt;=$B$176,B161&lt;=$B$177)),CONCATENATE(D161,"&amp;"),""),"")</f>
      </c>
      <c r="B161" s="176" t="e">
        <f>IF((C161-'VIB SPEC SHEET'!$AL$85)&gt;0,C161-'VIB SPEC SHEET'!$AL$85,10^10)</f>
        <v>#VALUE!</v>
      </c>
      <c r="C161" s="231"/>
      <c r="D161" s="232"/>
      <c r="E161" s="233"/>
      <c r="F161" s="197"/>
      <c r="G161" s="174">
        <f>IF('VIB SPEC SHEET'!$K$85="NEMA 4",IF(AND(I161&gt;'VIB SPEC SHEET'!$AL$85,AND(H161&lt;=$H$148,H161&lt;=$H$149,H161&lt;=$H$150,H161&lt;=$H$151,H161&lt;=$H$152,H161&lt;=$H$153,H161&lt;=$H$154,H161&lt;=$H$155,H161&lt;=$H$156,H161&lt;=$H$157,H161&lt;=$H$158,H161&lt;=$H$159,H161&lt;=$H$160,H161&lt;=$H$161,H161&lt;=$H$162,H161&lt;=$H$163,H161&lt;=$H$164,H161&lt;=$H$165,H161&lt;=$H$166,H161&lt;=$H$167,H161&lt;=$H$168,H161&lt;=$H$169,H161&lt;=$H$170,H161&lt;=$H$171,H161&lt;=$H$172,H161&lt;=$H$173,H161&lt;=$H$174,H161&lt;=$H$175,H161&lt;=$H$176,H161&lt;=$B$177)),CONCATENATE(J161,"&amp;"),""),"")</f>
      </c>
      <c r="H161" s="176" t="e">
        <f>IF((I161-'VIB SPEC SHEET'!$AL$85)&gt;0,I161-'VIB SPEC SHEET'!$AL$85,10^10)</f>
        <v>#VALUE!</v>
      </c>
      <c r="I161" s="231"/>
      <c r="J161" s="232"/>
      <c r="K161" s="233"/>
      <c r="L161" s="197"/>
      <c r="M161" s="174">
        <f>IF('VIB SPEC SHEET'!$K$85="NEMA 4X SS",IF(AND(O161&gt;'VIB SPEC SHEET'!$AL$85,AND(N161&lt;=$N$148,N161&lt;=$N$149,N161&lt;=$N$150,N161&lt;=$N$151,N161&lt;=$N$152,N161&lt;=$N$153,N161&lt;=$N$154,N161&lt;=$N$155,N161&lt;=$N$156,N161&lt;=$N$157,N161&lt;=$N$158,N161&lt;=$N$159,N161&lt;=$N$160,N161&lt;=$N$161,N161&lt;=$N$162,N161&lt;=$N$163,N161&lt;=$N$164,N161&lt;=$N$165,N161&lt;=$N$166,N161&lt;=$N$167,N161&lt;=$N$168,N161&lt;=$N$169,N161&lt;=$N$170,N161&lt;=$N$171,N161&lt;=$N$172,N161&lt;=$N$173,N161&lt;=$N$174,N161&lt;=$N$175,N161&lt;=$N$176,N161&lt;=$N$177)),CONCATENATE(P161,"&amp;"),""),"")</f>
      </c>
      <c r="N161" s="176" t="e">
        <f>IF((O161-'VIB SPEC SHEET'!$AL$85)&gt;0,O161-'VIB SPEC SHEET'!$AL$85,10^10)</f>
        <v>#VALUE!</v>
      </c>
      <c r="O161" s="231"/>
      <c r="P161" s="232"/>
      <c r="Q161" s="233"/>
      <c r="S161" s="180"/>
      <c r="T161" s="180"/>
      <c r="U161" s="190"/>
      <c r="V161" s="198"/>
    </row>
    <row r="162" spans="1:22" ht="15">
      <c r="A162" s="174">
        <f>IF('VIB SPEC SHEET'!$K$85="NEMA 12",IF(AND(C162&gt;'VIB SPEC SHEET'!$AL$85,AND(B162&lt;=$B$148,B162&lt;=$B$149,B162&lt;=$B$150,B162&lt;=$B$151,B162&lt;=$B$152,B162&lt;=$B$153,B162&lt;=$B$154,B162&lt;=$B$155,B162&lt;=$B$156,B162&lt;=$B$157,B162&lt;=$B$158,B162&lt;=$B$159,B162&lt;=$B$160,B162&lt;=$B$161,B162&lt;=$B$162,B162&lt;=$B$163,B162&lt;=$B$164,B162&lt;=$B$165,B162&lt;=$B$166,B162&lt;=$B$167,B162&lt;=$B$168,B162&lt;=$B$169,B162&lt;=$B$170,B162&lt;=$B$171,B162&lt;=$B$172,B162&lt;=$B$173,B162&lt;=$B$174,B162&lt;=$B$175,B162&lt;=$B$176,B162&lt;=$B$177)),CONCATENATE(D162,"&amp;"),""),"")</f>
      </c>
      <c r="B162" s="176" t="e">
        <f>IF((C162-'VIB SPEC SHEET'!$AL$85)&gt;0,C162-'VIB SPEC SHEET'!$AL$85,10^10)</f>
        <v>#VALUE!</v>
      </c>
      <c r="C162" s="231"/>
      <c r="D162" s="232"/>
      <c r="E162" s="233"/>
      <c r="F162" s="197"/>
      <c r="G162" s="174">
        <f>IF('VIB SPEC SHEET'!$K$85="NEMA 4",IF(AND(I162&gt;'VIB SPEC SHEET'!$AL$85,AND(H162&lt;=$H$148,H162&lt;=$H$149,H162&lt;=$H$150,H162&lt;=$H$151,H162&lt;=$H$152,H162&lt;=$H$153,H162&lt;=$H$154,H162&lt;=$H$155,H162&lt;=$H$156,H162&lt;=$H$157,H162&lt;=$H$158,H162&lt;=$H$159,H162&lt;=$H$160,H162&lt;=$H$161,H162&lt;=$H$162,H162&lt;=$H$163,H162&lt;=$H$164,H162&lt;=$H$165,H162&lt;=$H$166,H162&lt;=$H$167,H162&lt;=$H$168,H162&lt;=$H$169,H162&lt;=$H$170,H162&lt;=$H$171,H162&lt;=$H$172,H162&lt;=$H$173,H162&lt;=$H$174,H162&lt;=$H$175,H162&lt;=$H$176,H162&lt;=$B$177)),CONCATENATE(J162,"&amp;"),""),"")</f>
      </c>
      <c r="H162" s="176" t="e">
        <f>IF((I162-'VIB SPEC SHEET'!$AL$85)&gt;0,I162-'VIB SPEC SHEET'!$AL$85,10^10)</f>
        <v>#VALUE!</v>
      </c>
      <c r="I162" s="231"/>
      <c r="J162" s="232"/>
      <c r="K162" s="233"/>
      <c r="L162" s="197"/>
      <c r="M162" s="174">
        <f>IF('VIB SPEC SHEET'!$K$85="NEMA 4X SS",IF(AND(O162&gt;'VIB SPEC SHEET'!$AL$85,AND(N162&lt;=$N$148,N162&lt;=$N$149,N162&lt;=$N$150,N162&lt;=$N$151,N162&lt;=$N$152,N162&lt;=$N$153,N162&lt;=$N$154,N162&lt;=$N$155,N162&lt;=$N$156,N162&lt;=$N$157,N162&lt;=$N$158,N162&lt;=$N$159,N162&lt;=$N$160,N162&lt;=$N$161,N162&lt;=$N$162,N162&lt;=$N$163,N162&lt;=$N$164,N162&lt;=$N$165,N162&lt;=$N$166,N162&lt;=$N$167,N162&lt;=$N$168,N162&lt;=$N$169,N162&lt;=$N$170,N162&lt;=$N$171,N162&lt;=$N$172,N162&lt;=$N$173,N162&lt;=$N$174,N162&lt;=$N$175,N162&lt;=$N$176,N162&lt;=$N$177)),CONCATENATE(P162,"&amp;"),""),"")</f>
      </c>
      <c r="N162" s="176" t="e">
        <f>IF((O162-'VIB SPEC SHEET'!$AL$85)&gt;0,O162-'VIB SPEC SHEET'!$AL$85,10^10)</f>
        <v>#VALUE!</v>
      </c>
      <c r="O162" s="231"/>
      <c r="P162" s="232"/>
      <c r="Q162" s="233"/>
      <c r="S162" s="180"/>
      <c r="T162" s="180"/>
      <c r="U162" s="190"/>
      <c r="V162" s="198"/>
    </row>
    <row r="163" spans="1:22" ht="15">
      <c r="A163" s="174">
        <f>IF('VIB SPEC SHEET'!$K$85="NEMA 12",IF(AND(C163&gt;'VIB SPEC SHEET'!$AL$85,AND(B163&lt;=$B$148,B163&lt;=$B$149,B163&lt;=$B$150,B163&lt;=$B$151,B163&lt;=$B$152,B163&lt;=$B$153,B163&lt;=$B$154,B163&lt;=$B$155,B163&lt;=$B$156,B163&lt;=$B$157,B163&lt;=$B$158,B163&lt;=$B$159,B163&lt;=$B$160,B163&lt;=$B$161,B163&lt;=$B$162,B163&lt;=$B$163,B163&lt;=$B$164,B163&lt;=$B$165,B163&lt;=$B$166,B163&lt;=$B$167,B163&lt;=$B$168,B163&lt;=$B$169,B163&lt;=$B$170,B163&lt;=$B$171,B163&lt;=$B$172,B163&lt;=$B$173,B163&lt;=$B$174,B163&lt;=$B$175,B163&lt;=$B$176,B163&lt;=$B$177)),CONCATENATE(D163,"&amp;"),""),"")</f>
      </c>
      <c r="B163" s="176" t="e">
        <f>IF((C163-'VIB SPEC SHEET'!$AL$85)&gt;0,C163-'VIB SPEC SHEET'!$AL$85,10^10)</f>
        <v>#VALUE!</v>
      </c>
      <c r="C163" s="231"/>
      <c r="D163" s="232"/>
      <c r="E163" s="233"/>
      <c r="F163" s="197"/>
      <c r="G163" s="174">
        <f>IF('VIB SPEC SHEET'!$K$85="NEMA 4",IF(AND(I163&gt;'VIB SPEC SHEET'!$AL$85,AND(H163&lt;=$H$148,H163&lt;=$H$149,H163&lt;=$H$150,H163&lt;=$H$151,H163&lt;=$H$152,H163&lt;=$H$153,H163&lt;=$H$154,H163&lt;=$H$155,H163&lt;=$H$156,H163&lt;=$H$157,H163&lt;=$H$158,H163&lt;=$H$159,H163&lt;=$H$160,H163&lt;=$H$161,H163&lt;=$H$162,H163&lt;=$H$163,H163&lt;=$H$164,H163&lt;=$H$165,H163&lt;=$H$166,H163&lt;=$H$167,H163&lt;=$H$168,H163&lt;=$H$169,H163&lt;=$H$170,H163&lt;=$H$171,H163&lt;=$H$172,H163&lt;=$H$173,H163&lt;=$H$174,H163&lt;=$H$175,H163&lt;=$H$176,H163&lt;=$B$177)),CONCATENATE(J163,"&amp;"),""),"")</f>
      </c>
      <c r="H163" s="176" t="e">
        <f>IF((I163-'VIB SPEC SHEET'!$AL$85)&gt;0,I163-'VIB SPEC SHEET'!$AL$85,10^10)</f>
        <v>#VALUE!</v>
      </c>
      <c r="I163" s="231"/>
      <c r="J163" s="232"/>
      <c r="K163" s="233"/>
      <c r="L163" s="197"/>
      <c r="M163" s="174">
        <f>IF('VIB SPEC SHEET'!$K$85="NEMA 4X SS",IF(AND(O163&gt;'VIB SPEC SHEET'!$AL$85,AND(N163&lt;=$N$148,N163&lt;=$N$149,N163&lt;=$N$150,N163&lt;=$N$151,N163&lt;=$N$152,N163&lt;=$N$153,N163&lt;=$N$154,N163&lt;=$N$155,N163&lt;=$N$156,N163&lt;=$N$157,N163&lt;=$N$158,N163&lt;=$N$159,N163&lt;=$N$160,N163&lt;=$N$161,N163&lt;=$N$162,N163&lt;=$N$163,N163&lt;=$N$164,N163&lt;=$N$165,N163&lt;=$N$166,N163&lt;=$N$167,N163&lt;=$N$168,N163&lt;=$N$169,N163&lt;=$N$170,N163&lt;=$N$171,N163&lt;=$N$172,N163&lt;=$N$173,N163&lt;=$N$174,N163&lt;=$N$175,N163&lt;=$N$176,N163&lt;=$N$177)),CONCATENATE(P163,"&amp;"),""),"")</f>
      </c>
      <c r="N163" s="176" t="e">
        <f>IF((O163-'VIB SPEC SHEET'!$AL$85)&gt;0,O163-'VIB SPEC SHEET'!$AL$85,10^10)</f>
        <v>#VALUE!</v>
      </c>
      <c r="O163" s="231"/>
      <c r="P163" s="232"/>
      <c r="Q163" s="233"/>
      <c r="S163" s="180"/>
      <c r="T163" s="180"/>
      <c r="U163" s="190"/>
      <c r="V163" s="198"/>
    </row>
    <row r="164" spans="1:22" ht="15">
      <c r="A164" s="174">
        <f>IF('VIB SPEC SHEET'!$K$85="NEMA 12",IF(AND(C164&gt;'VIB SPEC SHEET'!$AL$85,AND(B164&lt;=$B$148,B164&lt;=$B$149,B164&lt;=$B$150,B164&lt;=$B$151,B164&lt;=$B$152,B164&lt;=$B$153,B164&lt;=$B$154,B164&lt;=$B$155,B164&lt;=$B$156,B164&lt;=$B$157,B164&lt;=$B$158,B164&lt;=$B$159,B164&lt;=$B$160,B164&lt;=$B$161,B164&lt;=$B$162,B164&lt;=$B$163,B164&lt;=$B$164,B164&lt;=$B$165,B164&lt;=$B$166,B164&lt;=$B$167,B164&lt;=$B$168,B164&lt;=$B$169,B164&lt;=$B$170,B164&lt;=$B$171,B164&lt;=$B$172,B164&lt;=$B$173,B164&lt;=$B$174,B164&lt;=$B$175,B164&lt;=$B$176,B164&lt;=$B$177)),CONCATENATE(D164,"&amp;"),""),"")</f>
      </c>
      <c r="B164" s="176" t="e">
        <f>IF((C164-'VIB SPEC SHEET'!$AL$85)&gt;0,C164-'VIB SPEC SHEET'!$AL$85,10^10)</f>
        <v>#VALUE!</v>
      </c>
      <c r="C164" s="231"/>
      <c r="D164" s="232"/>
      <c r="E164" s="233"/>
      <c r="F164" s="197"/>
      <c r="G164" s="174">
        <f>IF('VIB SPEC SHEET'!$K$85="NEMA 4",IF(AND(I164&gt;'VIB SPEC SHEET'!$AL$85,AND(H164&lt;=$H$148,H164&lt;=$H$149,H164&lt;=$H$150,H164&lt;=$H$151,H164&lt;=$H$152,H164&lt;=$H$153,H164&lt;=$H$154,H164&lt;=$H$155,H164&lt;=$H$156,H164&lt;=$H$157,H164&lt;=$H$158,H164&lt;=$H$159,H164&lt;=$H$160,H164&lt;=$H$161,H164&lt;=$H$162,H164&lt;=$H$163,H164&lt;=$H$164,H164&lt;=$H$165,H164&lt;=$H$166,H164&lt;=$H$167,H164&lt;=$H$168,H164&lt;=$H$169,H164&lt;=$H$170,H164&lt;=$H$171,H164&lt;=$H$172,H164&lt;=$H$173,H164&lt;=$H$174,H164&lt;=$H$175,H164&lt;=$H$176,H164&lt;=$B$177)),CONCATENATE(J164,"&amp;"),""),"")</f>
      </c>
      <c r="H164" s="176" t="e">
        <f>IF((I164-'VIB SPEC SHEET'!$AL$85)&gt;0,I164-'VIB SPEC SHEET'!$AL$85,10^10)</f>
        <v>#VALUE!</v>
      </c>
      <c r="I164" s="231"/>
      <c r="J164" s="232"/>
      <c r="K164" s="233"/>
      <c r="L164" s="197"/>
      <c r="M164" s="174">
        <f>IF('VIB SPEC SHEET'!$K$85="NEMA 4X SS",IF(AND(O164&gt;'VIB SPEC SHEET'!$AL$85,AND(N164&lt;=$N$148,N164&lt;=$N$149,N164&lt;=$N$150,N164&lt;=$N$151,N164&lt;=$N$152,N164&lt;=$N$153,N164&lt;=$N$154,N164&lt;=$N$155,N164&lt;=$N$156,N164&lt;=$N$157,N164&lt;=$N$158,N164&lt;=$N$159,N164&lt;=$N$160,N164&lt;=$N$161,N164&lt;=$N$162,N164&lt;=$N$163,N164&lt;=$N$164,N164&lt;=$N$165,N164&lt;=$N$166,N164&lt;=$N$167,N164&lt;=$N$168,N164&lt;=$N$169,N164&lt;=$N$170,N164&lt;=$N$171,N164&lt;=$N$172,N164&lt;=$N$173,N164&lt;=$N$174,N164&lt;=$N$175,N164&lt;=$N$176,N164&lt;=$N$177)),CONCATENATE(P164,"&amp;"),""),"")</f>
      </c>
      <c r="N164" s="176" t="e">
        <f>IF((O164-'VIB SPEC SHEET'!$AL$85)&gt;0,O164-'VIB SPEC SHEET'!$AL$85,10^10)</f>
        <v>#VALUE!</v>
      </c>
      <c r="O164" s="231"/>
      <c r="P164" s="232"/>
      <c r="Q164" s="233"/>
      <c r="S164" s="180"/>
      <c r="T164" s="180"/>
      <c r="U164" s="190"/>
      <c r="V164" s="198"/>
    </row>
    <row r="165" spans="1:22" ht="15">
      <c r="A165" s="174">
        <f>IF('VIB SPEC SHEET'!$K$85="NEMA 12",IF(AND(C165&gt;'VIB SPEC SHEET'!$AL$85,AND(B165&lt;=$B$148,B165&lt;=$B$149,B165&lt;=$B$150,B165&lt;=$B$151,B165&lt;=$B$152,B165&lt;=$B$153,B165&lt;=$B$154,B165&lt;=$B$155,B165&lt;=$B$156,B165&lt;=$B$157,B165&lt;=$B$158,B165&lt;=$B$159,B165&lt;=$B$160,B165&lt;=$B$161,B165&lt;=$B$162,B165&lt;=$B$163,B165&lt;=$B$164,B165&lt;=$B$165,B165&lt;=$B$166,B165&lt;=$B$167,B165&lt;=$B$168,B165&lt;=$B$169,B165&lt;=$B$170,B165&lt;=$B$171,B165&lt;=$B$172,B165&lt;=$B$173,B165&lt;=$B$174,B165&lt;=$B$175,B165&lt;=$B$176,B165&lt;=$B$177)),CONCATENATE(D165,"&amp;"),""),"")</f>
      </c>
      <c r="B165" s="176" t="e">
        <f>IF((C165-'VIB SPEC SHEET'!$AL$85)&gt;0,C165-'VIB SPEC SHEET'!$AL$85,10^10)</f>
        <v>#VALUE!</v>
      </c>
      <c r="C165" s="231"/>
      <c r="D165" s="232"/>
      <c r="E165" s="233"/>
      <c r="F165" s="197"/>
      <c r="G165" s="174">
        <f>IF('VIB SPEC SHEET'!$K$85="NEMA 4",IF(AND(I165&gt;'VIB SPEC SHEET'!$AL$85,AND(H165&lt;=$H$148,H165&lt;=$H$149,H165&lt;=$H$150,H165&lt;=$H$151,H165&lt;=$H$152,H165&lt;=$H$153,H165&lt;=$H$154,H165&lt;=$H$155,H165&lt;=$H$156,H165&lt;=$H$157,H165&lt;=$H$158,H165&lt;=$H$159,H165&lt;=$H$160,H165&lt;=$H$161,H165&lt;=$H$162,H165&lt;=$H$163,H165&lt;=$H$164,H165&lt;=$H$165,H165&lt;=$H$166,H165&lt;=$H$167,H165&lt;=$H$168,H165&lt;=$H$169,H165&lt;=$H$170,H165&lt;=$H$171,H165&lt;=$H$172,H165&lt;=$H$173,H165&lt;=$H$174,H165&lt;=$H$175,H165&lt;=$H$176,H165&lt;=$B$177)),CONCATENATE(J165,"&amp;"),""),"")</f>
      </c>
      <c r="H165" s="176" t="e">
        <f>IF((I165-'VIB SPEC SHEET'!$AL$85)&gt;0,I165-'VIB SPEC SHEET'!$AL$85,10^10)</f>
        <v>#VALUE!</v>
      </c>
      <c r="I165" s="231"/>
      <c r="J165" s="232"/>
      <c r="K165" s="233"/>
      <c r="L165" s="197"/>
      <c r="M165" s="174">
        <f>IF('VIB SPEC SHEET'!$K$85="NEMA 4X SS",IF(AND(O165&gt;'VIB SPEC SHEET'!$AL$85,AND(N165&lt;=$N$148,N165&lt;=$N$149,N165&lt;=$N$150,N165&lt;=$N$151,N165&lt;=$N$152,N165&lt;=$N$153,N165&lt;=$N$154,N165&lt;=$N$155,N165&lt;=$N$156,N165&lt;=$N$157,N165&lt;=$N$158,N165&lt;=$N$159,N165&lt;=$N$160,N165&lt;=$N$161,N165&lt;=$N$162,N165&lt;=$N$163,N165&lt;=$N$164,N165&lt;=$N$165,N165&lt;=$N$166,N165&lt;=$N$167,N165&lt;=$N$168,N165&lt;=$N$169,N165&lt;=$N$170,N165&lt;=$N$171,N165&lt;=$N$172,N165&lt;=$N$173,N165&lt;=$N$174,N165&lt;=$N$175,N165&lt;=$N$176,N165&lt;=$N$177)),CONCATENATE(P165,"&amp;"),""),"")</f>
      </c>
      <c r="N165" s="176" t="e">
        <f>IF((O165-'VIB SPEC SHEET'!$AL$85)&gt;0,O165-'VIB SPEC SHEET'!$AL$85,10^10)</f>
        <v>#VALUE!</v>
      </c>
      <c r="O165" s="231"/>
      <c r="P165" s="232"/>
      <c r="Q165" s="233"/>
      <c r="S165" s="180"/>
      <c r="T165" s="180"/>
      <c r="U165" s="190"/>
      <c r="V165" s="198"/>
    </row>
    <row r="166" spans="1:22" ht="15">
      <c r="A166" s="174">
        <f>IF('VIB SPEC SHEET'!$K$85="NEMA 12",IF(AND(C166&gt;'VIB SPEC SHEET'!$AL$85,AND(B166&lt;=$B$148,B166&lt;=$B$149,B166&lt;=$B$150,B166&lt;=$B$151,B166&lt;=$B$152,B166&lt;=$B$153,B166&lt;=$B$154,B166&lt;=$B$155,B166&lt;=$B$156,B166&lt;=$B$157,B166&lt;=$B$158,B166&lt;=$B$159,B166&lt;=$B$160,B166&lt;=$B$161,B166&lt;=$B$162,B166&lt;=$B$163,B166&lt;=$B$164,B166&lt;=$B$165,B166&lt;=$B$166,B166&lt;=$B$167,B166&lt;=$B$168,B166&lt;=$B$169,B166&lt;=$B$170,B166&lt;=$B$171,B166&lt;=$B$172,B166&lt;=$B$173,B166&lt;=$B$174,B166&lt;=$B$175,B166&lt;=$B$176,B166&lt;=$B$177)),CONCATENATE(D166,"&amp;"),""),"")</f>
      </c>
      <c r="B166" s="176" t="e">
        <f>IF((C166-'VIB SPEC SHEET'!$AL$85)&gt;0,C166-'VIB SPEC SHEET'!$AL$85,10^10)</f>
        <v>#VALUE!</v>
      </c>
      <c r="C166" s="231"/>
      <c r="D166" s="232"/>
      <c r="E166" s="233"/>
      <c r="F166" s="197"/>
      <c r="G166" s="174">
        <f>IF('VIB SPEC SHEET'!$K$85="NEMA 4",IF(AND(I166&gt;'VIB SPEC SHEET'!$AL$85,AND(H166&lt;=$H$148,H166&lt;=$H$149,H166&lt;=$H$150,H166&lt;=$H$151,H166&lt;=$H$152,H166&lt;=$H$153,H166&lt;=$H$154,H166&lt;=$H$155,H166&lt;=$H$156,H166&lt;=$H$157,H166&lt;=$H$158,H166&lt;=$H$159,H166&lt;=$H$160,H166&lt;=$H$161,H166&lt;=$H$162,H166&lt;=$H$163,H166&lt;=$H$164,H166&lt;=$H$165,H166&lt;=$H$166,H166&lt;=$H$167,H166&lt;=$H$168,H166&lt;=$H$169,H166&lt;=$H$170,H166&lt;=$H$171,H166&lt;=$H$172,H166&lt;=$H$173,H166&lt;=$H$174,H166&lt;=$H$175,H166&lt;=$H$176,H166&lt;=$B$177)),CONCATENATE(J166,"&amp;"),""),"")</f>
      </c>
      <c r="H166" s="176" t="e">
        <f>IF((I166-'VIB SPEC SHEET'!$AL$85)&gt;0,I166-'VIB SPEC SHEET'!$AL$85,10^10)</f>
        <v>#VALUE!</v>
      </c>
      <c r="I166" s="231"/>
      <c r="J166" s="232"/>
      <c r="K166" s="233"/>
      <c r="L166" s="197"/>
      <c r="M166" s="174">
        <f>IF('VIB SPEC SHEET'!$K$85="NEMA 4X SS",IF(AND(O166&gt;'VIB SPEC SHEET'!$AL$85,AND(N166&lt;=$N$148,N166&lt;=$N$149,N166&lt;=$N$150,N166&lt;=$N$151,N166&lt;=$N$152,N166&lt;=$N$153,N166&lt;=$N$154,N166&lt;=$N$155,N166&lt;=$N$156,N166&lt;=$N$157,N166&lt;=$N$158,N166&lt;=$N$159,N166&lt;=$N$160,N166&lt;=$N$161,N166&lt;=$N$162,N166&lt;=$N$163,N166&lt;=$N$164,N166&lt;=$N$165,N166&lt;=$N$166,N166&lt;=$N$167,N166&lt;=$N$168,N166&lt;=$N$169,N166&lt;=$N$170,N166&lt;=$N$171,N166&lt;=$N$172,N166&lt;=$N$173,N166&lt;=$N$174,N166&lt;=$N$175,N166&lt;=$N$176,N166&lt;=$N$177)),CONCATENATE(P166,"&amp;"),""),"")</f>
      </c>
      <c r="N166" s="176" t="e">
        <f>IF((O166-'VIB SPEC SHEET'!$AL$85)&gt;0,O166-'VIB SPEC SHEET'!$AL$85,10^10)</f>
        <v>#VALUE!</v>
      </c>
      <c r="O166" s="231"/>
      <c r="P166" s="232"/>
      <c r="Q166" s="233"/>
      <c r="S166" s="180"/>
      <c r="T166" s="180"/>
      <c r="U166" s="190"/>
      <c r="V166" s="198"/>
    </row>
    <row r="167" spans="1:22" ht="15">
      <c r="A167" s="174">
        <f>IF('VIB SPEC SHEET'!$K$85="NEMA 12",IF(AND(C167&gt;'VIB SPEC SHEET'!$AL$85,AND(B167&lt;=$B$148,B167&lt;=$B$149,B167&lt;=$B$150,B167&lt;=$B$151,B167&lt;=$B$152,B167&lt;=$B$153,B167&lt;=$B$154,B167&lt;=$B$155,B167&lt;=$B$156,B167&lt;=$B$157,B167&lt;=$B$158,B167&lt;=$B$159,B167&lt;=$B$160,B167&lt;=$B$161,B167&lt;=$B$162,B167&lt;=$B$163,B167&lt;=$B$164,B167&lt;=$B$165,B167&lt;=$B$166,B167&lt;=$B$167,B167&lt;=$B$168,B167&lt;=$B$169,B167&lt;=$B$170,B167&lt;=$B$171,B167&lt;=$B$172,B167&lt;=$B$173,B167&lt;=$B$174,B167&lt;=$B$175,B167&lt;=$B$176,B167&lt;=$B$177)),CONCATENATE(D167,"&amp;"),""),"")</f>
      </c>
      <c r="B167" s="176" t="e">
        <f>IF((C167-'VIB SPEC SHEET'!$AL$85)&gt;0,C167-'VIB SPEC SHEET'!$AL$85,10^10)</f>
        <v>#VALUE!</v>
      </c>
      <c r="C167" s="231"/>
      <c r="D167" s="232"/>
      <c r="E167" s="233"/>
      <c r="F167" s="197"/>
      <c r="G167" s="174">
        <f>IF('VIB SPEC SHEET'!$K$85="NEMA 4",IF(AND(I167&gt;'VIB SPEC SHEET'!$AL$85,AND(H167&lt;=$H$148,H167&lt;=$H$149,H167&lt;=$H$150,H167&lt;=$H$151,H167&lt;=$H$152,H167&lt;=$H$153,H167&lt;=$H$154,H167&lt;=$H$155,H167&lt;=$H$156,H167&lt;=$H$157,H167&lt;=$H$158,H167&lt;=$H$159,H167&lt;=$H$160,H167&lt;=$H$161,H167&lt;=$H$162,H167&lt;=$H$163,H167&lt;=$H$164,H167&lt;=$H$165,H167&lt;=$H$166,H167&lt;=$H$167,H167&lt;=$H$168,H167&lt;=$H$169,H167&lt;=$H$170,H167&lt;=$H$171,H167&lt;=$H$172,H167&lt;=$H$173,H167&lt;=$H$174,H167&lt;=$H$175,H167&lt;=$H$176,H167&lt;=$B$177)),CONCATENATE(J167,"&amp;"),""),"")</f>
      </c>
      <c r="H167" s="176" t="e">
        <f>IF((I167-'VIB SPEC SHEET'!$AL$85)&gt;0,I167-'VIB SPEC SHEET'!$AL$85,10^10)</f>
        <v>#VALUE!</v>
      </c>
      <c r="I167" s="231"/>
      <c r="J167" s="232"/>
      <c r="K167" s="233"/>
      <c r="L167" s="197"/>
      <c r="M167" s="174">
        <f>IF('VIB SPEC SHEET'!$K$85="NEMA 4X SS",IF(AND(O167&gt;'VIB SPEC SHEET'!$AL$85,AND(N167&lt;=$N$148,N167&lt;=$N$149,N167&lt;=$N$150,N167&lt;=$N$151,N167&lt;=$N$152,N167&lt;=$N$153,N167&lt;=$N$154,N167&lt;=$N$155,N167&lt;=$N$156,N167&lt;=$N$157,N167&lt;=$N$158,N167&lt;=$N$159,N167&lt;=$N$160,N167&lt;=$N$161,N167&lt;=$N$162,N167&lt;=$N$163,N167&lt;=$N$164,N167&lt;=$N$165,N167&lt;=$N$166,N167&lt;=$N$167,N167&lt;=$N$168,N167&lt;=$N$169,N167&lt;=$N$170,N167&lt;=$N$171,N167&lt;=$N$172,N167&lt;=$N$173,N167&lt;=$N$174,N167&lt;=$N$175,N167&lt;=$N$176,N167&lt;=$N$177)),CONCATENATE(P167,"&amp;"),""),"")</f>
      </c>
      <c r="N167" s="176" t="e">
        <f>IF((O167-'VIB SPEC SHEET'!$AL$85)&gt;0,O167-'VIB SPEC SHEET'!$AL$85,10^10)</f>
        <v>#VALUE!</v>
      </c>
      <c r="O167" s="231"/>
      <c r="P167" s="232"/>
      <c r="Q167" s="233"/>
      <c r="S167" s="180"/>
      <c r="T167" s="180"/>
      <c r="U167" s="190"/>
      <c r="V167" s="198"/>
    </row>
    <row r="168" spans="1:22" ht="15">
      <c r="A168" s="174">
        <f>IF('VIB SPEC SHEET'!$K$85="NEMA 12",IF(AND(C168&gt;'VIB SPEC SHEET'!$AL$85,AND(B168&lt;=$B$148,B168&lt;=$B$149,B168&lt;=$B$150,B168&lt;=$B$151,B168&lt;=$B$152,B168&lt;=$B$153,B168&lt;=$B$154,B168&lt;=$B$155,B168&lt;=$B$156,B168&lt;=$B$157,B168&lt;=$B$158,B168&lt;=$B$159,B168&lt;=$B$160,B168&lt;=$B$161,B168&lt;=$B$162,B168&lt;=$B$163,B168&lt;=$B$164,B168&lt;=$B$165,B168&lt;=$B$166,B168&lt;=$B$167,B168&lt;=$B$168,B168&lt;=$B$169,B168&lt;=$B$170,B168&lt;=$B$171,B168&lt;=$B$172,B168&lt;=$B$173,B168&lt;=$B$174,B168&lt;=$B$175,B168&lt;=$B$176,B168&lt;=$B$177)),CONCATENATE(D168,"&amp;"),""),"")</f>
      </c>
      <c r="B168" s="176" t="e">
        <f>IF((C168-'VIB SPEC SHEET'!$AL$85)&gt;0,C168-'VIB SPEC SHEET'!$AL$85,10^10)</f>
        <v>#VALUE!</v>
      </c>
      <c r="C168" s="231"/>
      <c r="D168" s="232"/>
      <c r="E168" s="233"/>
      <c r="F168" s="197"/>
      <c r="G168" s="174">
        <f>IF('VIB SPEC SHEET'!$K$85="NEMA 4",IF(AND(I168&gt;'VIB SPEC SHEET'!$AL$85,AND(H168&lt;=$H$148,H168&lt;=$H$149,H168&lt;=$H$150,H168&lt;=$H$151,H168&lt;=$H$152,H168&lt;=$H$153,H168&lt;=$H$154,H168&lt;=$H$155,H168&lt;=$H$156,H168&lt;=$H$157,H168&lt;=$H$158,H168&lt;=$H$159,H168&lt;=$H$160,H168&lt;=$H$161,H168&lt;=$H$162,H168&lt;=$H$163,H168&lt;=$H$164,H168&lt;=$H$165,H168&lt;=$H$166,H168&lt;=$H$167,H168&lt;=$H$168,H168&lt;=$H$169,H168&lt;=$H$170,H168&lt;=$H$171,H168&lt;=$H$172,H168&lt;=$H$173,H168&lt;=$H$174,H168&lt;=$H$175,H168&lt;=$H$176,H168&lt;=$B$177)),CONCATENATE(J168,"&amp;"),""),"")</f>
      </c>
      <c r="H168" s="176" t="e">
        <f>IF((I168-'VIB SPEC SHEET'!$AL$85)&gt;0,I168-'VIB SPEC SHEET'!$AL$85,10^10)</f>
        <v>#VALUE!</v>
      </c>
      <c r="I168" s="231"/>
      <c r="J168" s="232"/>
      <c r="K168" s="233"/>
      <c r="L168" s="197"/>
      <c r="M168" s="174">
        <f>IF('VIB SPEC SHEET'!$K$85="NEMA 4X SS",IF(AND(O168&gt;'VIB SPEC SHEET'!$AL$85,AND(N168&lt;=$N$148,N168&lt;=$N$149,N168&lt;=$N$150,N168&lt;=$N$151,N168&lt;=$N$152,N168&lt;=$N$153,N168&lt;=$N$154,N168&lt;=$N$155,N168&lt;=$N$156,N168&lt;=$N$157,N168&lt;=$N$158,N168&lt;=$N$159,N168&lt;=$N$160,N168&lt;=$N$161,N168&lt;=$N$162,N168&lt;=$N$163,N168&lt;=$N$164,N168&lt;=$N$165,N168&lt;=$N$166,N168&lt;=$N$167,N168&lt;=$N$168,N168&lt;=$N$169,N168&lt;=$N$170,N168&lt;=$N$171,N168&lt;=$N$172,N168&lt;=$N$173,N168&lt;=$N$174,N168&lt;=$N$175,N168&lt;=$N$176,N168&lt;=$N$177)),CONCATENATE(P168,"&amp;"),""),"")</f>
      </c>
      <c r="N168" s="176" t="e">
        <f>IF((O168-'VIB SPEC SHEET'!$AL$85)&gt;0,O168-'VIB SPEC SHEET'!$AL$85,10^10)</f>
        <v>#VALUE!</v>
      </c>
      <c r="O168" s="231"/>
      <c r="P168" s="232"/>
      <c r="Q168" s="233"/>
      <c r="S168" s="180"/>
      <c r="T168" s="180"/>
      <c r="U168" s="190"/>
      <c r="V168" s="198"/>
    </row>
    <row r="169" spans="1:22" ht="15">
      <c r="A169" s="174">
        <f>IF('VIB SPEC SHEET'!$K$85="NEMA 12",IF(AND(C169&gt;'VIB SPEC SHEET'!$AL$85,AND(B169&lt;=$B$148,B169&lt;=$B$149,B169&lt;=$B$150,B169&lt;=$B$151,B169&lt;=$B$152,B169&lt;=$B$153,B169&lt;=$B$154,B169&lt;=$B$155,B169&lt;=$B$156,B169&lt;=$B$157,B169&lt;=$B$158,B169&lt;=$B$159,B169&lt;=$B$160,B169&lt;=$B$161,B169&lt;=$B$162,B169&lt;=$B$163,B169&lt;=$B$164,B169&lt;=$B$165,B169&lt;=$B$166,B169&lt;=$B$167,B169&lt;=$B$168,B169&lt;=$B$169,B169&lt;=$B$170,B169&lt;=$B$171,B169&lt;=$B$172,B169&lt;=$B$173,B169&lt;=$B$174,B169&lt;=$B$175,B169&lt;=$B$176,B169&lt;=$B$177)),CONCATENATE(D169,"&amp;"),""),"")</f>
      </c>
      <c r="B169" s="176" t="e">
        <f>IF((C169-'VIB SPEC SHEET'!$AL$85)&gt;0,C169-'VIB SPEC SHEET'!$AL$85,10^10)</f>
        <v>#VALUE!</v>
      </c>
      <c r="C169" s="231"/>
      <c r="D169" s="232"/>
      <c r="E169" s="233"/>
      <c r="F169" s="197"/>
      <c r="G169" s="174">
        <f>IF('VIB SPEC SHEET'!$K$85="NEMA 4",IF(AND(I169&gt;'VIB SPEC SHEET'!$AL$85,AND(H169&lt;=$H$148,H169&lt;=$H$149,H169&lt;=$H$150,H169&lt;=$H$151,H169&lt;=$H$152,H169&lt;=$H$153,H169&lt;=$H$154,H169&lt;=$H$155,H169&lt;=$H$156,H169&lt;=$H$157,H169&lt;=$H$158,H169&lt;=$H$159,H169&lt;=$H$160,H169&lt;=$H$161,H169&lt;=$H$162,H169&lt;=$H$163,H169&lt;=$H$164,H169&lt;=$H$165,H169&lt;=$H$166,H169&lt;=$H$167,H169&lt;=$H$168,H169&lt;=$H$169,H169&lt;=$H$170,H169&lt;=$H$171,H169&lt;=$H$172,H169&lt;=$H$173,H169&lt;=$H$174,H169&lt;=$H$175,H169&lt;=$H$176,H169&lt;=$B$177)),CONCATENATE(J169,"&amp;"),""),"")</f>
      </c>
      <c r="H169" s="176" t="e">
        <f>IF((I169-'VIB SPEC SHEET'!$AL$85)&gt;0,I169-'VIB SPEC SHEET'!$AL$85,10^10)</f>
        <v>#VALUE!</v>
      </c>
      <c r="I169" s="231"/>
      <c r="J169" s="232"/>
      <c r="K169" s="233"/>
      <c r="L169" s="197"/>
      <c r="M169" s="174">
        <f>IF('VIB SPEC SHEET'!$K$85="NEMA 4X SS",IF(AND(O169&gt;'VIB SPEC SHEET'!$AL$85,AND(N169&lt;=$N$148,N169&lt;=$N$149,N169&lt;=$N$150,N169&lt;=$N$151,N169&lt;=$N$152,N169&lt;=$N$153,N169&lt;=$N$154,N169&lt;=$N$155,N169&lt;=$N$156,N169&lt;=$N$157,N169&lt;=$N$158,N169&lt;=$N$159,N169&lt;=$N$160,N169&lt;=$N$161,N169&lt;=$N$162,N169&lt;=$N$163,N169&lt;=$N$164,N169&lt;=$N$165,N169&lt;=$N$166,N169&lt;=$N$167,N169&lt;=$N$168,N169&lt;=$N$169,N169&lt;=$N$170,N169&lt;=$N$171,N169&lt;=$N$172,N169&lt;=$N$173,N169&lt;=$N$174,N169&lt;=$N$175,N169&lt;=$N$176,N169&lt;=$N$177)),CONCATENATE(P169,"&amp;"),""),"")</f>
      </c>
      <c r="N169" s="176" t="e">
        <f>IF((O169-'VIB SPEC SHEET'!$AL$85)&gt;0,O169-'VIB SPEC SHEET'!$AL$85,10^10)</f>
        <v>#VALUE!</v>
      </c>
      <c r="O169" s="231"/>
      <c r="P169" s="232"/>
      <c r="Q169" s="233"/>
      <c r="S169" s="180"/>
      <c r="T169" s="180"/>
      <c r="U169" s="190"/>
      <c r="V169" s="198"/>
    </row>
    <row r="170" spans="1:22" ht="15">
      <c r="A170" s="174">
        <f>IF('VIB SPEC SHEET'!$K$85="NEMA 12",IF(AND(C170&gt;'VIB SPEC SHEET'!$AL$85,AND(B170&lt;=$B$148,B170&lt;=$B$149,B170&lt;=$B$150,B170&lt;=$B$151,B170&lt;=$B$152,B170&lt;=$B$153,B170&lt;=$B$154,B170&lt;=$B$155,B170&lt;=$B$156,B170&lt;=$B$157,B170&lt;=$B$158,B170&lt;=$B$159,B170&lt;=$B$160,B170&lt;=$B$161,B170&lt;=$B$162,B170&lt;=$B$163,B170&lt;=$B$164,B170&lt;=$B$165,B170&lt;=$B$166,B170&lt;=$B$167,B170&lt;=$B$168,B170&lt;=$B$169,B170&lt;=$B$170,B170&lt;=$B$171,B170&lt;=$B$172,B170&lt;=$B$173,B170&lt;=$B$174,B170&lt;=$B$175,B170&lt;=$B$176,B170&lt;=$B$177)),CONCATENATE(D170,"&amp;"),""),"")</f>
      </c>
      <c r="B170" s="176" t="e">
        <f>IF((C170-'VIB SPEC SHEET'!$AL$85)&gt;0,C170-'VIB SPEC SHEET'!$AL$85,10^10)</f>
        <v>#VALUE!</v>
      </c>
      <c r="C170" s="231"/>
      <c r="D170" s="232"/>
      <c r="E170" s="233"/>
      <c r="F170" s="197"/>
      <c r="G170" s="174">
        <f>IF('VIB SPEC SHEET'!$K$85="NEMA 4",IF(AND(I170&gt;'VIB SPEC SHEET'!$AL$85,AND(H170&lt;=$H$148,H170&lt;=$H$149,H170&lt;=$H$150,H170&lt;=$H$151,H170&lt;=$H$152,H170&lt;=$H$153,H170&lt;=$H$154,H170&lt;=$H$155,H170&lt;=$H$156,H170&lt;=$H$157,H170&lt;=$H$158,H170&lt;=$H$159,H170&lt;=$H$160,H170&lt;=$H$161,H170&lt;=$H$162,H170&lt;=$H$163,H170&lt;=$H$164,H170&lt;=$H$165,H170&lt;=$H$166,H170&lt;=$H$167,H170&lt;=$H$168,H170&lt;=$H$169,H170&lt;=$H$170,H170&lt;=$H$171,H170&lt;=$H$172,H170&lt;=$H$173,H170&lt;=$H$174,H170&lt;=$H$175,H170&lt;=$H$176,H170&lt;=$B$177)),CONCATENATE(J170,"&amp;"),""),"")</f>
      </c>
      <c r="H170" s="176" t="e">
        <f>IF((I170-'VIB SPEC SHEET'!$AL$85)&gt;0,I170-'VIB SPEC SHEET'!$AL$85,10^10)</f>
        <v>#VALUE!</v>
      </c>
      <c r="I170" s="231"/>
      <c r="J170" s="232"/>
      <c r="K170" s="233"/>
      <c r="L170" s="197"/>
      <c r="M170" s="174">
        <f>IF('VIB SPEC SHEET'!$K$85="NEMA 4X SS",IF(AND(O170&gt;'VIB SPEC SHEET'!$AL$85,AND(N170&lt;=$N$148,N170&lt;=$N$149,N170&lt;=$N$150,N170&lt;=$N$151,N170&lt;=$N$152,N170&lt;=$N$153,N170&lt;=$N$154,N170&lt;=$N$155,N170&lt;=$N$156,N170&lt;=$N$157,N170&lt;=$N$158,N170&lt;=$N$159,N170&lt;=$N$160,N170&lt;=$N$161,N170&lt;=$N$162,N170&lt;=$N$163,N170&lt;=$N$164,N170&lt;=$N$165,N170&lt;=$N$166,N170&lt;=$N$167,N170&lt;=$N$168,N170&lt;=$N$169,N170&lt;=$N$170,N170&lt;=$N$171,N170&lt;=$N$172,N170&lt;=$N$173,N170&lt;=$N$174,N170&lt;=$N$175,N170&lt;=$N$176,N170&lt;=$N$177)),CONCATENATE(P170,"&amp;"),""),"")</f>
      </c>
      <c r="N170" s="176" t="e">
        <f>IF((O170-'VIB SPEC SHEET'!$AL$85)&gt;0,O170-'VIB SPEC SHEET'!$AL$85,10^10)</f>
        <v>#VALUE!</v>
      </c>
      <c r="O170" s="231"/>
      <c r="P170" s="232"/>
      <c r="Q170" s="233"/>
      <c r="S170" s="180"/>
      <c r="T170" s="180"/>
      <c r="U170" s="190"/>
      <c r="V170" s="198"/>
    </row>
    <row r="171" spans="1:22" ht="15">
      <c r="A171" s="174">
        <f>IF('VIB SPEC SHEET'!$K$85="NEMA 12",IF(AND(C171&gt;'VIB SPEC SHEET'!$AL$85,AND(B171&lt;=$B$148,B171&lt;=$B$149,B171&lt;=$B$150,B171&lt;=$B$151,B171&lt;=$B$152,B171&lt;=$B$153,B171&lt;=$B$154,B171&lt;=$B$155,B171&lt;=$B$156,B171&lt;=$B$157,B171&lt;=$B$158,B171&lt;=$B$159,B171&lt;=$B$160,B171&lt;=$B$161,B171&lt;=$B$162,B171&lt;=$B$163,B171&lt;=$B$164,B171&lt;=$B$165,B171&lt;=$B$166,B171&lt;=$B$167,B171&lt;=$B$168,B171&lt;=$B$169,B171&lt;=$B$170,B171&lt;=$B$171,B171&lt;=$B$172,B171&lt;=$B$173,B171&lt;=$B$174,B171&lt;=$B$175,B171&lt;=$B$176,B171&lt;=$B$177)),CONCATENATE(D171,"&amp;"),""),"")</f>
      </c>
      <c r="B171" s="176" t="e">
        <f>IF((C171-'VIB SPEC SHEET'!$AL$85)&gt;0,C171-'VIB SPEC SHEET'!$AL$85,10^10)</f>
        <v>#VALUE!</v>
      </c>
      <c r="C171" s="231"/>
      <c r="D171" s="232"/>
      <c r="E171" s="233"/>
      <c r="F171" s="197"/>
      <c r="G171" s="174">
        <f>IF('VIB SPEC SHEET'!$K$85="NEMA 4",IF(AND(I171&gt;'VIB SPEC SHEET'!$AL$85,AND(H171&lt;=$H$148,H171&lt;=$H$149,H171&lt;=$H$150,H171&lt;=$H$151,H171&lt;=$H$152,H171&lt;=$H$153,H171&lt;=$H$154,H171&lt;=$H$155,H171&lt;=$H$156,H171&lt;=$H$157,H171&lt;=$H$158,H171&lt;=$H$159,H171&lt;=$H$160,H171&lt;=$H$161,H171&lt;=$H$162,H171&lt;=$H$163,H171&lt;=$H$164,H171&lt;=$H$165,H171&lt;=$H$166,H171&lt;=$H$167,H171&lt;=$H$168,H171&lt;=$H$169,H171&lt;=$H$170,H171&lt;=$H$171,H171&lt;=$H$172,H171&lt;=$H$173,H171&lt;=$H$174,H171&lt;=$H$175,H171&lt;=$H$176,H171&lt;=$B$177)),CONCATENATE(J171,"&amp;"),""),"")</f>
      </c>
      <c r="H171" s="176" t="e">
        <f>IF((I171-'VIB SPEC SHEET'!$AL$85)&gt;0,I171-'VIB SPEC SHEET'!$AL$85,10^10)</f>
        <v>#VALUE!</v>
      </c>
      <c r="I171" s="231"/>
      <c r="J171" s="232"/>
      <c r="K171" s="233"/>
      <c r="L171" s="197"/>
      <c r="M171" s="174">
        <f>IF('VIB SPEC SHEET'!$K$85="NEMA 4X SS",IF(AND(O171&gt;'VIB SPEC SHEET'!$AL$85,AND(N171&lt;=$N$148,N171&lt;=$N$149,N171&lt;=$N$150,N171&lt;=$N$151,N171&lt;=$N$152,N171&lt;=$N$153,N171&lt;=$N$154,N171&lt;=$N$155,N171&lt;=$N$156,N171&lt;=$N$157,N171&lt;=$N$158,N171&lt;=$N$159,N171&lt;=$N$160,N171&lt;=$N$161,N171&lt;=$N$162,N171&lt;=$N$163,N171&lt;=$N$164,N171&lt;=$N$165,N171&lt;=$N$166,N171&lt;=$N$167,N171&lt;=$N$168,N171&lt;=$N$169,N171&lt;=$N$170,N171&lt;=$N$171,N171&lt;=$N$172,N171&lt;=$N$173,N171&lt;=$N$174,N171&lt;=$N$175,N171&lt;=$N$176,N171&lt;=$N$177)),CONCATENATE(P171,"&amp;"),""),"")</f>
      </c>
      <c r="N171" s="176" t="e">
        <f>IF((O171-'VIB SPEC SHEET'!$AL$85)&gt;0,O171-'VIB SPEC SHEET'!$AL$85,10^10)</f>
        <v>#VALUE!</v>
      </c>
      <c r="O171" s="231"/>
      <c r="P171" s="232"/>
      <c r="Q171" s="233"/>
      <c r="S171" s="180"/>
      <c r="T171" s="180"/>
      <c r="U171" s="190"/>
      <c r="V171" s="198"/>
    </row>
    <row r="172" spans="1:22" ht="15">
      <c r="A172" s="174">
        <f>IF('VIB SPEC SHEET'!$K$85="NEMA 12",IF(AND(C172&gt;'VIB SPEC SHEET'!$AL$85,AND(B172&lt;=$B$148,B172&lt;=$B$149,B172&lt;=$B$150,B172&lt;=$B$151,B172&lt;=$B$152,B172&lt;=$B$153,B172&lt;=$B$154,B172&lt;=$B$155,B172&lt;=$B$156,B172&lt;=$B$157,B172&lt;=$B$158,B172&lt;=$B$159,B172&lt;=$B$160,B172&lt;=$B$161,B172&lt;=$B$162,B172&lt;=$B$163,B172&lt;=$B$164,B172&lt;=$B$165,B172&lt;=$B$166,B172&lt;=$B$167,B172&lt;=$B$168,B172&lt;=$B$169,B172&lt;=$B$170,B172&lt;=$B$171,B172&lt;=$B$172,B172&lt;=$B$173,B172&lt;=$B$174,B172&lt;=$B$175,B172&lt;=$B$176,B172&lt;=$B$177)),CONCATENATE(D172,"&amp;"),""),"")</f>
      </c>
      <c r="B172" s="176" t="e">
        <f>IF((C172-'VIB SPEC SHEET'!$AL$85)&gt;0,C172-'VIB SPEC SHEET'!$AL$85,10^10)</f>
        <v>#VALUE!</v>
      </c>
      <c r="C172" s="231"/>
      <c r="D172" s="232"/>
      <c r="E172" s="233"/>
      <c r="F172" s="197"/>
      <c r="G172" s="174">
        <f>IF('VIB SPEC SHEET'!$K$85="NEMA 4",IF(AND(I172&gt;'VIB SPEC SHEET'!$AL$85,AND(H172&lt;=$H$148,H172&lt;=$H$149,H172&lt;=$H$150,H172&lt;=$H$151,H172&lt;=$H$152,H172&lt;=$H$153,H172&lt;=$H$154,H172&lt;=$H$155,H172&lt;=$H$156,H172&lt;=$H$157,H172&lt;=$H$158,H172&lt;=$H$159,H172&lt;=$H$160,H172&lt;=$H$161,H172&lt;=$H$162,H172&lt;=$H$163,H172&lt;=$H$164,H172&lt;=$H$165,H172&lt;=$H$166,H172&lt;=$H$167,H172&lt;=$H$168,H172&lt;=$H$169,H172&lt;=$H$170,H172&lt;=$H$171,H172&lt;=$H$172,H172&lt;=$H$173,H172&lt;=$H$174,H172&lt;=$H$175,H172&lt;=$H$176,H172&lt;=$B$177)),CONCATENATE(J172,"&amp;"),""),"")</f>
      </c>
      <c r="H172" s="176" t="e">
        <f>IF((I172-'VIB SPEC SHEET'!$AL$85)&gt;0,I172-'VIB SPEC SHEET'!$AL$85,10^10)</f>
        <v>#VALUE!</v>
      </c>
      <c r="I172" s="231"/>
      <c r="J172" s="232"/>
      <c r="K172" s="233"/>
      <c r="L172" s="197"/>
      <c r="M172" s="174">
        <f>IF('VIB SPEC SHEET'!$K$85="NEMA 4X SS",IF(AND(O172&gt;'VIB SPEC SHEET'!$AL$85,AND(N172&lt;=$N$148,N172&lt;=$N$149,N172&lt;=$N$150,N172&lt;=$N$151,N172&lt;=$N$152,N172&lt;=$N$153,N172&lt;=$N$154,N172&lt;=$N$155,N172&lt;=$N$156,N172&lt;=$N$157,N172&lt;=$N$158,N172&lt;=$N$159,N172&lt;=$N$160,N172&lt;=$N$161,N172&lt;=$N$162,N172&lt;=$N$163,N172&lt;=$N$164,N172&lt;=$N$165,N172&lt;=$N$166,N172&lt;=$N$167,N172&lt;=$N$168,N172&lt;=$N$169,N172&lt;=$N$170,N172&lt;=$N$171,N172&lt;=$N$172,N172&lt;=$N$173,N172&lt;=$N$174,N172&lt;=$N$175,N172&lt;=$N$176,N172&lt;=$N$177)),CONCATENATE(P172,"&amp;"),""),"")</f>
      </c>
      <c r="N172" s="176" t="e">
        <f>IF((O172-'VIB SPEC SHEET'!$AL$85)&gt;0,O172-'VIB SPEC SHEET'!$AL$85,10^10)</f>
        <v>#VALUE!</v>
      </c>
      <c r="O172" s="231"/>
      <c r="P172" s="232"/>
      <c r="Q172" s="233"/>
      <c r="S172" s="180"/>
      <c r="T172" s="180"/>
      <c r="U172" s="190"/>
      <c r="V172" s="198"/>
    </row>
    <row r="173" spans="1:22" ht="15">
      <c r="A173" s="174">
        <f>IF('VIB SPEC SHEET'!$K$85="NEMA 12",IF(AND(C173&gt;'VIB SPEC SHEET'!$AL$85,AND(B173&lt;=$B$148,B173&lt;=$B$149,B173&lt;=$B$150,B173&lt;=$B$151,B173&lt;=$B$152,B173&lt;=$B$153,B173&lt;=$B$154,B173&lt;=$B$155,B173&lt;=$B$156,B173&lt;=$B$157,B173&lt;=$B$158,B173&lt;=$B$159,B173&lt;=$B$160,B173&lt;=$B$161,B173&lt;=$B$162,B173&lt;=$B$163,B173&lt;=$B$164,B173&lt;=$B$165,B173&lt;=$B$166,B173&lt;=$B$167,B173&lt;=$B$168,B173&lt;=$B$169,B173&lt;=$B$170,B173&lt;=$B$171,B173&lt;=$B$172,B173&lt;=$B$173,B173&lt;=$B$174,B173&lt;=$B$175,B173&lt;=$B$176,B173&lt;=$B$177)),CONCATENATE(D173,"&amp;"),""),"")</f>
      </c>
      <c r="B173" s="176" t="e">
        <f>IF((C173-'VIB SPEC SHEET'!$AL$85)&gt;0,C173-'VIB SPEC SHEET'!$AL$85,10^10)</f>
        <v>#VALUE!</v>
      </c>
      <c r="C173" s="231"/>
      <c r="D173" s="232"/>
      <c r="E173" s="233"/>
      <c r="F173" s="197"/>
      <c r="G173" s="174">
        <f>IF('VIB SPEC SHEET'!$K$85="NEMA 4",IF(AND(I173&gt;'VIB SPEC SHEET'!$AL$85,AND(H173&lt;=$H$148,H173&lt;=$H$149,H173&lt;=$H$150,H173&lt;=$H$151,H173&lt;=$H$152,H173&lt;=$H$153,H173&lt;=$H$154,H173&lt;=$H$155,H173&lt;=$H$156,H173&lt;=$H$157,H173&lt;=$H$158,H173&lt;=$H$159,H173&lt;=$H$160,H173&lt;=$H$161,H173&lt;=$H$162,H173&lt;=$H$163,H173&lt;=$H$164,H173&lt;=$H$165,H173&lt;=$H$166,H173&lt;=$H$167,H173&lt;=$H$168,H173&lt;=$H$169,H173&lt;=$H$170,H173&lt;=$H$171,H173&lt;=$H$172,H173&lt;=$H$173,H173&lt;=$H$174,H173&lt;=$H$175,H173&lt;=$H$176,H173&lt;=$B$177)),CONCATENATE(J173,"&amp;"),""),"")</f>
      </c>
      <c r="H173" s="176" t="e">
        <f>IF((I173-'VIB SPEC SHEET'!$AL$85)&gt;0,I173-'VIB SPEC SHEET'!$AL$85,10^10)</f>
        <v>#VALUE!</v>
      </c>
      <c r="I173" s="231"/>
      <c r="J173" s="232"/>
      <c r="K173" s="233"/>
      <c r="L173" s="197"/>
      <c r="M173" s="174">
        <f>IF('VIB SPEC SHEET'!$K$85="NEMA 4X SS",IF(AND(O173&gt;'VIB SPEC SHEET'!$AL$85,AND(N173&lt;=$N$148,N173&lt;=$N$149,N173&lt;=$N$150,N173&lt;=$N$151,N173&lt;=$N$152,N173&lt;=$N$153,N173&lt;=$N$154,N173&lt;=$N$155,N173&lt;=$N$156,N173&lt;=$N$157,N173&lt;=$N$158,N173&lt;=$N$159,N173&lt;=$N$160,N173&lt;=$N$161,N173&lt;=$N$162,N173&lt;=$N$163,N173&lt;=$N$164,N173&lt;=$N$165,N173&lt;=$N$166,N173&lt;=$N$167,N173&lt;=$N$168,N173&lt;=$N$169,N173&lt;=$N$170,N173&lt;=$N$171,N173&lt;=$N$172,N173&lt;=$N$173,N173&lt;=$N$174,N173&lt;=$N$175,N173&lt;=$N$176,N173&lt;=$N$177)),CONCATENATE(P173,"&amp;"),""),"")</f>
      </c>
      <c r="N173" s="176" t="e">
        <f>IF((O173-'VIB SPEC SHEET'!$AL$85)&gt;0,O173-'VIB SPEC SHEET'!$AL$85,10^10)</f>
        <v>#VALUE!</v>
      </c>
      <c r="O173" s="231"/>
      <c r="P173" s="232"/>
      <c r="Q173" s="233"/>
      <c r="S173" s="180"/>
      <c r="T173" s="180"/>
      <c r="U173" s="190"/>
      <c r="V173" s="198"/>
    </row>
    <row r="174" spans="1:22" ht="15">
      <c r="A174" s="174">
        <f>IF('VIB SPEC SHEET'!$K$85="NEMA 12",IF(AND(C174&gt;'VIB SPEC SHEET'!$AL$85,AND(B174&lt;=$B$148,B174&lt;=$B$149,B174&lt;=$B$150,B174&lt;=$B$151,B174&lt;=$B$152,B174&lt;=$B$153,B174&lt;=$B$154,B174&lt;=$B$155,B174&lt;=$B$156,B174&lt;=$B$157,B174&lt;=$B$158,B174&lt;=$B$159,B174&lt;=$B$160,B174&lt;=$B$161,B174&lt;=$B$162,B174&lt;=$B$163,B174&lt;=$B$164,B174&lt;=$B$165,B174&lt;=$B$166,B174&lt;=$B$167,B174&lt;=$B$168,B174&lt;=$B$169,B174&lt;=$B$170,B174&lt;=$B$171,B174&lt;=$B$172,B174&lt;=$B$173,B174&lt;=$B$174,B174&lt;=$B$175,B174&lt;=$B$176,B174&lt;=$B$177)),CONCATENATE(D174,"&amp;"),""),"")</f>
      </c>
      <c r="B174" s="176" t="e">
        <f>IF((C174-'VIB SPEC SHEET'!$AL$85)&gt;0,C174-'VIB SPEC SHEET'!$AL$85,10^10)</f>
        <v>#VALUE!</v>
      </c>
      <c r="C174" s="231"/>
      <c r="D174" s="232"/>
      <c r="E174" s="233"/>
      <c r="F174" s="197"/>
      <c r="G174" s="174">
        <f>IF('VIB SPEC SHEET'!$K$85="NEMA 4",IF(AND(I174&gt;'VIB SPEC SHEET'!$AL$85,AND(H174&lt;=$H$148,H174&lt;=$H$149,H174&lt;=$H$150,H174&lt;=$H$151,H174&lt;=$H$152,H174&lt;=$H$153,H174&lt;=$H$154,H174&lt;=$H$155,H174&lt;=$H$156,H174&lt;=$H$157,H174&lt;=$H$158,H174&lt;=$H$159,H174&lt;=$H$160,H174&lt;=$H$161,H174&lt;=$H$162,H174&lt;=$H$163,H174&lt;=$H$164,H174&lt;=$H$165,H174&lt;=$H$166,H174&lt;=$H$167,H174&lt;=$H$168,H174&lt;=$H$169,H174&lt;=$H$170,H174&lt;=$H$171,H174&lt;=$H$172,H174&lt;=$H$173,H174&lt;=$H$174,H174&lt;=$H$175,H174&lt;=$H$176,H174&lt;=$B$177)),CONCATENATE(J174,"&amp;"),""),"")</f>
      </c>
      <c r="H174" s="176" t="e">
        <f>IF((I174-'VIB SPEC SHEET'!$AL$85)&gt;0,I174-'VIB SPEC SHEET'!$AL$85,10^10)</f>
        <v>#VALUE!</v>
      </c>
      <c r="I174" s="231"/>
      <c r="J174" s="232"/>
      <c r="K174" s="233"/>
      <c r="L174" s="197"/>
      <c r="M174" s="174">
        <f>IF('VIB SPEC SHEET'!$K$85="NEMA 4X SS",IF(AND(O174&gt;'VIB SPEC SHEET'!$AL$85,AND(N174&lt;=$N$148,N174&lt;=$N$149,N174&lt;=$N$150,N174&lt;=$N$151,N174&lt;=$N$152,N174&lt;=$N$153,N174&lt;=$N$154,N174&lt;=$N$155,N174&lt;=$N$156,N174&lt;=$N$157,N174&lt;=$N$158,N174&lt;=$N$159,N174&lt;=$N$160,N174&lt;=$N$161,N174&lt;=$N$162,N174&lt;=$N$163,N174&lt;=$N$164,N174&lt;=$N$165,N174&lt;=$N$166,N174&lt;=$N$167,N174&lt;=$N$168,N174&lt;=$N$169,N174&lt;=$N$170,N174&lt;=$N$171,N174&lt;=$N$172,N174&lt;=$N$173,N174&lt;=$N$174,N174&lt;=$N$175,N174&lt;=$N$176,N174&lt;=$N$177)),CONCATENATE(P174,"&amp;"),""),"")</f>
      </c>
      <c r="N174" s="176" t="e">
        <f>IF((O174-'VIB SPEC SHEET'!$AL$85)&gt;0,O174-'VIB SPEC SHEET'!$AL$85,10^10)</f>
        <v>#VALUE!</v>
      </c>
      <c r="O174" s="231"/>
      <c r="P174" s="232"/>
      <c r="Q174" s="233"/>
      <c r="S174" s="180"/>
      <c r="T174" s="180"/>
      <c r="U174" s="190"/>
      <c r="V174" s="198"/>
    </row>
    <row r="175" spans="1:22" ht="15">
      <c r="A175" s="174">
        <f>IF('VIB SPEC SHEET'!$K$85="NEMA 12",IF(AND(C175&gt;'VIB SPEC SHEET'!$AL$85,AND(B175&lt;=$B$148,B175&lt;=$B$149,B175&lt;=$B$150,B175&lt;=$B$151,B175&lt;=$B$152,B175&lt;=$B$153,B175&lt;=$B$154,B175&lt;=$B$155,B175&lt;=$B$156,B175&lt;=$B$157,B175&lt;=$B$158,B175&lt;=$B$159,B175&lt;=$B$160,B175&lt;=$B$161,B175&lt;=$B$162,B175&lt;=$B$163,B175&lt;=$B$164,B175&lt;=$B$165,B175&lt;=$B$166,B175&lt;=$B$167,B175&lt;=$B$168,B175&lt;=$B$169,B175&lt;=$B$170,B175&lt;=$B$171,B175&lt;=$B$172,B175&lt;=$B$173,B175&lt;=$B$174,B175&lt;=$B$175,B175&lt;=$B$176,B175&lt;=$B$177)),CONCATENATE(D175,"&amp;"),""),"")</f>
      </c>
      <c r="B175" s="176" t="e">
        <f>IF((C175-'VIB SPEC SHEET'!$AL$85)&gt;0,C175-'VIB SPEC SHEET'!$AL$85,10^10)</f>
        <v>#VALUE!</v>
      </c>
      <c r="C175" s="231"/>
      <c r="D175" s="232"/>
      <c r="E175" s="233"/>
      <c r="F175" s="197"/>
      <c r="G175" s="174">
        <f>IF('VIB SPEC SHEET'!$K$85="NEMA 4",IF(AND(I175&gt;'VIB SPEC SHEET'!$AL$85,AND(H175&lt;=$H$148,H175&lt;=$H$149,H175&lt;=$H$150,H175&lt;=$H$151,H175&lt;=$H$152,H175&lt;=$H$153,H175&lt;=$H$154,H175&lt;=$H$155,H175&lt;=$H$156,H175&lt;=$H$157,H175&lt;=$H$158,H175&lt;=$H$159,H175&lt;=$H$160,H175&lt;=$H$161,H175&lt;=$H$162,H175&lt;=$H$163,H175&lt;=$H$164,H175&lt;=$H$165,H175&lt;=$H$166,H175&lt;=$H$167,H175&lt;=$H$168,H175&lt;=$H$169,H175&lt;=$H$170,H175&lt;=$H$171,H175&lt;=$H$172,H175&lt;=$H$173,H175&lt;=$H$174,H175&lt;=$H$175,H175&lt;=$H$176,H175&lt;=$B$177)),CONCATENATE(J175,"&amp;"),""),"")</f>
      </c>
      <c r="H175" s="176" t="e">
        <f>IF((I175-'VIB SPEC SHEET'!$AL$85)&gt;0,I175-'VIB SPEC SHEET'!$AL$85,10^10)</f>
        <v>#VALUE!</v>
      </c>
      <c r="I175" s="231"/>
      <c r="J175" s="232"/>
      <c r="K175" s="233"/>
      <c r="L175" s="197"/>
      <c r="M175" s="174">
        <f>IF('VIB SPEC SHEET'!$K$85="NEMA 4X SS",IF(AND(O175&gt;'VIB SPEC SHEET'!$AL$85,AND(N175&lt;=$N$148,N175&lt;=$N$149,N175&lt;=$N$150,N175&lt;=$N$151,N175&lt;=$N$152,N175&lt;=$N$153,N175&lt;=$N$154,N175&lt;=$N$155,N175&lt;=$N$156,N175&lt;=$N$157,N175&lt;=$N$158,N175&lt;=$N$159,N175&lt;=$N$160,N175&lt;=$N$161,N175&lt;=$N$162,N175&lt;=$N$163,N175&lt;=$N$164,N175&lt;=$N$165,N175&lt;=$N$166,N175&lt;=$N$167,N175&lt;=$N$168,N175&lt;=$N$169,N175&lt;=$N$170,N175&lt;=$N$171,N175&lt;=$N$172,N175&lt;=$N$173,N175&lt;=$N$174,N175&lt;=$N$175,N175&lt;=$N$176,N175&lt;=$N$177)),CONCATENATE(P175,"&amp;"),""),"")</f>
      </c>
      <c r="N175" s="176" t="e">
        <f>IF((O175-'VIB SPEC SHEET'!$AL$85)&gt;0,O175-'VIB SPEC SHEET'!$AL$85,10^10)</f>
        <v>#VALUE!</v>
      </c>
      <c r="O175" s="231"/>
      <c r="P175" s="232"/>
      <c r="Q175" s="233"/>
      <c r="S175" s="180"/>
      <c r="T175" s="180"/>
      <c r="U175" s="190"/>
      <c r="V175" s="198"/>
    </row>
    <row r="176" spans="1:22" ht="15">
      <c r="A176" s="174">
        <f>IF('VIB SPEC SHEET'!$K$85="NEMA 12",IF(AND(C176&gt;'VIB SPEC SHEET'!$AL$85,AND(B176&lt;=$B$148,B176&lt;=$B$149,B176&lt;=$B$150,B176&lt;=$B$151,B176&lt;=$B$152,B176&lt;=$B$153,B176&lt;=$B$154,B176&lt;=$B$155,B176&lt;=$B$156,B176&lt;=$B$157,B176&lt;=$B$158,B176&lt;=$B$159,B176&lt;=$B$160,B176&lt;=$B$161,B176&lt;=$B$162,B176&lt;=$B$163,B176&lt;=$B$164,B176&lt;=$B$165,B176&lt;=$B$166,B176&lt;=$B$167,B176&lt;=$B$168,B176&lt;=$B$169,B176&lt;=$B$170,B176&lt;=$B$171,B176&lt;=$B$172,B176&lt;=$B$173,B176&lt;=$B$174,B176&lt;=$B$175,B176&lt;=$B$176,B176&lt;=$B$177)),CONCATENATE(D176,"&amp;"),""),"")</f>
      </c>
      <c r="B176" s="176" t="e">
        <f>IF((C176-'VIB SPEC SHEET'!$AL$85)&gt;0,C176-'VIB SPEC SHEET'!$AL$85,10^10)</f>
        <v>#VALUE!</v>
      </c>
      <c r="C176" s="231"/>
      <c r="D176" s="232"/>
      <c r="E176" s="233"/>
      <c r="F176" s="197"/>
      <c r="G176" s="174">
        <f>IF('VIB SPEC SHEET'!$K$85="NEMA 4",IF(AND(I176&gt;'VIB SPEC SHEET'!$AL$85,AND(H176&lt;=$H$148,H176&lt;=$H$149,H176&lt;=$H$150,H176&lt;=$H$151,H176&lt;=$H$152,H176&lt;=$H$153,H176&lt;=$H$154,H176&lt;=$H$155,H176&lt;=$H$156,H176&lt;=$H$157,H176&lt;=$H$158,H176&lt;=$H$159,H176&lt;=$H$160,H176&lt;=$H$161,H176&lt;=$H$162,H176&lt;=$H$163,H176&lt;=$H$164,H176&lt;=$H$165,H176&lt;=$H$166,H176&lt;=$H$167,H176&lt;=$H$168,H176&lt;=$H$169,H176&lt;=$H$170,H176&lt;=$H$171,H176&lt;=$H$172,H176&lt;=$H$173,H176&lt;=$H$174,H176&lt;=$H$175,H176&lt;=$H$176,H176&lt;=$B$177)),CONCATENATE(J176,"&amp;"),""),"")</f>
      </c>
      <c r="H176" s="176" t="e">
        <f>IF((I176-'VIB SPEC SHEET'!$AL$85)&gt;0,I176-'VIB SPEC SHEET'!$AL$85,10^10)</f>
        <v>#VALUE!</v>
      </c>
      <c r="I176" s="231"/>
      <c r="J176" s="232"/>
      <c r="K176" s="233"/>
      <c r="L176" s="197"/>
      <c r="M176" s="174">
        <f>IF('VIB SPEC SHEET'!$K$85="NEMA 4X SS",IF(AND(O176&gt;'VIB SPEC SHEET'!$AL$85,AND(N176&lt;=$N$148,N176&lt;=$N$149,N176&lt;=$N$150,N176&lt;=$N$151,N176&lt;=$N$152,N176&lt;=$N$153,N176&lt;=$N$154,N176&lt;=$N$155,N176&lt;=$N$156,N176&lt;=$N$157,N176&lt;=$N$158,N176&lt;=$N$159,N176&lt;=$N$160,N176&lt;=$N$161,N176&lt;=$N$162,N176&lt;=$N$163,N176&lt;=$N$164,N176&lt;=$N$165,N176&lt;=$N$166,N176&lt;=$N$167,N176&lt;=$N$168,N176&lt;=$N$169,N176&lt;=$N$170,N176&lt;=$N$171,N176&lt;=$N$172,N176&lt;=$N$173,N176&lt;=$N$174,N176&lt;=$N$175,N176&lt;=$N$176,N176&lt;=$N$177)),CONCATENATE(P176,"&amp;"),""),"")</f>
      </c>
      <c r="N176" s="176" t="e">
        <f>IF((O176-'VIB SPEC SHEET'!$AL$85)&gt;0,O176-'VIB SPEC SHEET'!$AL$85,10^10)</f>
        <v>#VALUE!</v>
      </c>
      <c r="O176" s="231"/>
      <c r="P176" s="232"/>
      <c r="Q176" s="233"/>
      <c r="S176" s="180"/>
      <c r="T176" s="180"/>
      <c r="U176" s="190"/>
      <c r="V176" s="198"/>
    </row>
    <row r="177" spans="1:22" ht="15.75" thickBot="1">
      <c r="A177" s="174">
        <f>IF('VIB SPEC SHEET'!$K$85="NEMA 12",IF(AND(C177&gt;'VIB SPEC SHEET'!$AL$85,AND(B177&lt;=$B$148,B177&lt;=$B$149,B177&lt;=$B$150,B177&lt;=$B$151,B177&lt;=$B$152,B177&lt;=$B$153,B177&lt;=$B$154,B177&lt;=$B$155,B177&lt;=$B$156,B177&lt;=$B$157,B177&lt;=$B$158,B177&lt;=$B$159,B177&lt;=$B$160,B177&lt;=$B$161,B177&lt;=$B$162,B177&lt;=$B$163,B177&lt;=$B$164,B177&lt;=$B$165,B177&lt;=$B$166,B177&lt;=$B$167,B177&lt;=$B$168,B177&lt;=$B$169,B177&lt;=$B$170,B177&lt;=$B$171,B177&lt;=$B$172,B177&lt;=$B$173,B177&lt;=$B$174,B177&lt;=$B$175,B177&lt;=$B$176,B177&lt;=$B$177)),CONCATENATE(D177,"&amp;"),""),"")</f>
      </c>
      <c r="B177" s="176" t="e">
        <f>IF((C177-'VIB SPEC SHEET'!$AL$85)&gt;0,C177-'VIB SPEC SHEET'!$AL$85,10^10)</f>
        <v>#VALUE!</v>
      </c>
      <c r="C177" s="234"/>
      <c r="D177" s="235"/>
      <c r="E177" s="236"/>
      <c r="F177" s="197"/>
      <c r="G177" s="174">
        <f>IF('VIB SPEC SHEET'!$K$85="NEMA 4",IF(AND(I177&gt;'VIB SPEC SHEET'!$AL$85,AND(H177&lt;=$H$148,H177&lt;=$H$149,H177&lt;=$H$150,H177&lt;=$H$151,H177&lt;=$H$152,H177&lt;=$H$153,H177&lt;=$H$154,H177&lt;=$H$155,H177&lt;=$H$156,H177&lt;=$H$157,H177&lt;=$H$158,H177&lt;=$H$159,H177&lt;=$H$160,H177&lt;=$H$161,H177&lt;=$H$162,H177&lt;=$H$163,H177&lt;=$H$164,H177&lt;=$H$165,H177&lt;=$H$166,H177&lt;=$H$167,H177&lt;=$H$168,H177&lt;=$H$169,H177&lt;=$H$170,H177&lt;=$H$171,H177&lt;=$H$172,H177&lt;=$H$173,H177&lt;=$H$174,H177&lt;=$H$175,H177&lt;=$H$176,H177&lt;=$B$177)),CONCATENATE(J177,"&amp;"),""),"")</f>
      </c>
      <c r="H177" s="176" t="e">
        <f>IF((I177-'VIB SPEC SHEET'!$AL$85)&gt;0,I177-'VIB SPEC SHEET'!$AL$85,10^10)</f>
        <v>#VALUE!</v>
      </c>
      <c r="I177" s="234"/>
      <c r="J177" s="235"/>
      <c r="K177" s="236"/>
      <c r="L177" s="197"/>
      <c r="M177" s="174">
        <f>IF('VIB SPEC SHEET'!$K$85="NEMA 4X SS",IF(AND(O177&gt;'VIB SPEC SHEET'!$AL$85,AND(N177&lt;=$N$148,N177&lt;=$N$149,N177&lt;=$N$150,N177&lt;=$N$151,N177&lt;=$N$152,N177&lt;=$N$153,N177&lt;=$N$154,N177&lt;=$N$155,N177&lt;=$N$156,N177&lt;=$N$157,N177&lt;=$N$158,N177&lt;=$N$159,N177&lt;=$N$160,N177&lt;=$N$161,N177&lt;=$N$162,N177&lt;=$N$163,N177&lt;=$N$164,N177&lt;=$N$165,N177&lt;=$N$166,N177&lt;=$N$167,N177&lt;=$N$168,N177&lt;=$N$169,N177&lt;=$N$170,N177&lt;=$N$171,N177&lt;=$N$172,N177&lt;=$N$173,N177&lt;=$N$174,N177&lt;=$N$175,N177&lt;=$N$176,N177&lt;=$N$177)),CONCATENATE(P177,"&amp;"),""),"")</f>
      </c>
      <c r="N177" s="176" t="e">
        <f>IF((O177-'VIB SPEC SHEET'!$AL$85)&gt;0,O177-'VIB SPEC SHEET'!$AL$85,10^10)</f>
        <v>#VALUE!</v>
      </c>
      <c r="O177" s="234"/>
      <c r="P177" s="235"/>
      <c r="Q177" s="236"/>
      <c r="S177" s="182"/>
      <c r="T177" s="182"/>
      <c r="U177" s="182"/>
      <c r="V177" s="182"/>
    </row>
    <row r="178" spans="1:12" ht="15">
      <c r="A178" s="180"/>
      <c r="B178" s="180"/>
      <c r="C178" s="180"/>
      <c r="D178" s="190"/>
      <c r="E178" s="197"/>
      <c r="F178" s="197"/>
      <c r="G178" s="197"/>
      <c r="H178" s="197"/>
      <c r="I178" s="197"/>
      <c r="J178" s="197"/>
      <c r="K178" s="197"/>
      <c r="L178" s="197"/>
    </row>
    <row r="181" spans="1:12" ht="15">
      <c r="A181" s="205" t="s">
        <v>112</v>
      </c>
      <c r="B181" s="205"/>
      <c r="C181" s="206"/>
      <c r="D181" s="134"/>
      <c r="E181" s="134"/>
      <c r="F181" s="134"/>
      <c r="G181" s="134"/>
      <c r="H181" s="134"/>
      <c r="I181" s="134"/>
      <c r="J181" s="134"/>
      <c r="K181" s="134"/>
      <c r="L181" s="134"/>
    </row>
    <row r="182" spans="1:12" ht="15">
      <c r="A182" s="207">
        <f>IF(C193="",IF(I193="",IF(O193="","",O193),I193),C193)</f>
      </c>
      <c r="B182" s="51"/>
      <c r="C182" s="51"/>
      <c r="D182" s="134"/>
      <c r="E182" s="134"/>
      <c r="F182" s="134"/>
      <c r="G182" s="134"/>
      <c r="H182" s="134"/>
      <c r="I182" s="134"/>
      <c r="J182" s="134"/>
      <c r="K182" s="134"/>
      <c r="L182" s="134"/>
    </row>
    <row r="183" spans="1:12" ht="15">
      <c r="A183" s="207">
        <f>IF(C195="",IF(I195="",IF(O195="","",O195),I195),C195)</f>
      </c>
      <c r="B183" s="51"/>
      <c r="C183" s="51"/>
      <c r="D183" s="134"/>
      <c r="E183" s="134"/>
      <c r="F183" s="134"/>
      <c r="G183" s="134"/>
      <c r="H183" s="134"/>
      <c r="I183" s="134"/>
      <c r="J183" s="134"/>
      <c r="K183" s="134"/>
      <c r="L183" s="134"/>
    </row>
    <row r="184" spans="1:12" ht="12.75">
      <c r="A184" s="207">
        <f>IF(C197="",IF(I197="",IF(O197="","",O197),I197),C197)</f>
      </c>
      <c r="B184" s="51"/>
      <c r="C184" s="51"/>
      <c r="E184" s="170"/>
      <c r="F184" s="170"/>
      <c r="G184" s="170"/>
      <c r="H184" s="170"/>
      <c r="I184" s="170"/>
      <c r="J184" s="170"/>
      <c r="K184" s="170"/>
      <c r="L184" s="170"/>
    </row>
    <row r="185" spans="1:12" ht="12.75">
      <c r="A185" s="207">
        <f>IF(C199="",IF(I199="",IF(O199="","",O199),I199),C199)</f>
      </c>
      <c r="B185" s="51"/>
      <c r="C185" s="51"/>
      <c r="D185" s="170"/>
      <c r="E185" s="170"/>
      <c r="F185" s="170"/>
      <c r="G185" s="170"/>
      <c r="H185" s="170"/>
      <c r="I185" s="170"/>
      <c r="J185" s="170"/>
      <c r="K185" s="170"/>
      <c r="L185" s="170"/>
    </row>
    <row r="186" spans="1:12" ht="12.75">
      <c r="A186" s="207">
        <f>IF(C201="",IF(I201="",IF(O201="","",O201),I201),C201)</f>
      </c>
      <c r="B186" s="51"/>
      <c r="C186" s="51"/>
      <c r="D186" s="170"/>
      <c r="E186" s="170"/>
      <c r="F186" s="170"/>
      <c r="G186" s="170"/>
      <c r="H186" s="170"/>
      <c r="I186" s="170"/>
      <c r="J186" s="170"/>
      <c r="K186" s="170"/>
      <c r="L186" s="170"/>
    </row>
    <row r="187" spans="1:12" ht="12.75">
      <c r="A187" s="207">
        <f>IF(C203="",IF(I203="",IF(O203="","",O203),I203),C203)</f>
      </c>
      <c r="B187" s="51"/>
      <c r="C187" s="51"/>
      <c r="D187" s="170"/>
      <c r="E187" s="170"/>
      <c r="F187" s="170"/>
      <c r="G187" s="170"/>
      <c r="H187" s="170"/>
      <c r="I187" s="170"/>
      <c r="J187" s="170"/>
      <c r="K187" s="170"/>
      <c r="L187" s="170"/>
    </row>
    <row r="188" spans="1:60" ht="15">
      <c r="A188" s="208"/>
      <c r="B188" s="208"/>
      <c r="C188" s="170"/>
      <c r="D188" s="134"/>
      <c r="E188" s="56"/>
      <c r="F188" s="56"/>
      <c r="G188" s="56"/>
      <c r="H188" s="56"/>
      <c r="I188" s="56"/>
      <c r="J188" s="56"/>
      <c r="K188" s="187"/>
      <c r="L188" s="187"/>
      <c r="AP188" s="187"/>
      <c r="AQ188" s="180"/>
      <c r="AR188" s="180"/>
      <c r="AS188" s="187"/>
      <c r="AT188" s="187"/>
      <c r="AU188" s="187"/>
      <c r="AV188" s="187"/>
      <c r="AW188" s="187"/>
      <c r="AX188" s="187"/>
      <c r="AY188" s="187"/>
      <c r="AZ188" s="187"/>
      <c r="BA188" s="187"/>
      <c r="BB188" s="187"/>
      <c r="BC188" s="187"/>
      <c r="BD188" s="187"/>
      <c r="BE188" s="187"/>
      <c r="BF188" s="187"/>
      <c r="BG188" s="187"/>
      <c r="BH188" s="187"/>
    </row>
    <row r="189" spans="1:60" ht="15" customHeight="1">
      <c r="A189" s="209"/>
      <c r="B189" s="210"/>
      <c r="C189" s="363" t="s">
        <v>233</v>
      </c>
      <c r="D189" s="243"/>
      <c r="E189" s="243"/>
      <c r="I189" s="363" t="s">
        <v>234</v>
      </c>
      <c r="J189" s="243"/>
      <c r="K189" s="244"/>
      <c r="L189" s="182"/>
      <c r="O189" s="363" t="s">
        <v>235</v>
      </c>
      <c r="P189" s="243"/>
      <c r="Q189" s="243"/>
      <c r="AP189" s="187"/>
      <c r="AQ189" s="180"/>
      <c r="AR189" s="180"/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/>
      <c r="BD189" s="187"/>
      <c r="BE189" s="187"/>
      <c r="BF189" s="187"/>
      <c r="BG189" s="187"/>
      <c r="BH189" s="187"/>
    </row>
    <row r="190" spans="3:60" ht="18">
      <c r="C190" s="245" t="b">
        <f>IF('VIB SPEC SHEET'!AA24=115,CONCATENATE(A12,A13,A14,A15,A16,A17,A18,A19,A20,A21,A22,A23,A24,A25,A26,A27,A28,A29,A30,A31,A32,A33,A34,A35,A36,A37,A38,A39,A40,A41),IF('VIB SPEC SHEET'!AA24=230,CONCATENATE(A46,A47,A48,A49,A50,A51,A52,A53,A54,A55,A56,A57,A58,A59,A60,A61,A62,A63,A64,A65,A66,A67,A68,A69,A70,A71,A72,A73,A75,A74),IF('VIB SPEC SHEET'!AA24=380,CONCATENATE(A80,A81,A82,A83,A84,A85,A86,A87,A88,A89,A90,A91,A92,A93,A94,A95,A96,A97,A98,A99,A100,A101,A102,A103,A104,A105,A106,A107,A108,A109),IF('VIB SPEC SHEET'!AA24=460,CONCATENATE(A114,A115,A116,A117,A118,A119,A120,A121,A122,A123,A124,A125,A126,A127,A128,A129,A130,A131,A132,A133,A134,A135,A136,A137,A138,A139,A140,A141,A142,A143),IF('VIB SPEC SHEET'!AA24=575,CONCATENATE(A148,A149,A150,A151,A152,A153,A154,A155,A156,A157,A158,A159,A160,A161,A162,A163,A164,A165,A166,A167,A168,A169,A170,A171,A172,A173,A174,A175,A176,A177))))))</f>
        <v>0</v>
      </c>
      <c r="D190" s="245"/>
      <c r="E190" s="245"/>
      <c r="H190" s="211"/>
      <c r="I190" s="245" t="b">
        <f>IF('VIB SPEC SHEET'!AA24=115,CONCATENATE(G12,G13,G14,G15,G16,G17,G18,G19,G20,G21,G22,G23,G24,G25,G26,G27,G28,G29,G30,G31,G32,G33,G34,G35,G36,G37,G38,G39,G40,G41),IF('VIB SPEC SHEET'!AA24=230,CONCATENATE(G46,G47,G48,G49,G50,G51,G52,G53,G54,G55,G56,G57,G58,G59,G60,G61,G62,G63,G64,G65,G66,G67,G68,G69,G70,G71,G72,G73,G74,G75),IF('VIB SPEC SHEET'!AA24=380,CONCATENATE(G80,G81,G82,G83,G84,G85,G86,G87,G88,G89,G90,G91,G92,G93,G94,G95,G96,G97,G98,G99,G100,G101,G102,G103,G104,G105,G106,G107,G108,G109),IF('VIB SPEC SHEET'!AA24=460,CONCATENATE(G114,G115,G116,G117,G118,G119,G120,G121,G122,G123,G124,G125,G126,G127,G128,G129,G130,G131,G132,G133,G134,G135,G136,G137,G138,G139,G140,G141,G142,G143),IF('VIB SPEC SHEET'!AA24=575,CONCATENATE(G148,G149,G150,G151,G152,G153,G154,G155,G156,G157,G158,G159,G160,G161,G162,G163,G164,G165,G166,G167,G168,G169,G170,G171,G172,G173,G174,G175,G176,G177))))))</f>
        <v>0</v>
      </c>
      <c r="J190" s="245"/>
      <c r="K190" s="246"/>
      <c r="L190" s="182"/>
      <c r="O190" s="245">
        <f>IF('VIB SPEC SHEET'!AA24=115,CONCATENATE(G12,G13,G14,G15,G16,G17,G18,G19,G20,G21,G22,G23,G24,G25,G26,G27,G28,G29,G30,G31,G32,G33,G34,G35,G36,G37,G38,G39,G40,G41),IF('VIB SPEC SHEET'!AA24=230,CONCATENATE(G46,G47,G48,G49,G50,G51,G52,G53,G54,G55,G56,G57,G58,G59,G60,G61,G62,G63,G64,G65,G66,G67,G68,G69,G70,G71,G72,G73,G74,G75),IF('VIB SPEC SHEET'!AA24=380,CONCATENATE(G80,G81,G82,G83,G84,G85,G86,G87,G88,G89,G90,G91,G92,G93,G94,G95,G96,G97,G98,G99,G100,G101,G102,G103,G104,G105,G106,G107,G108,G109),IF('VIB SPEC SHEET'!AA24=460,CONCATENATE(G114,G115,G116,G117,G118,G119,G120,G121,G122,G123,G124,G125,G126,G127,G128,G129,G130,G131,G132,G133,G134,G135,G136,G137,G138,G139,G140,G141,G142,G143),IF('VIB SPEC SHEET'!AA24=575,CONCATENATE(G148,G149,G150,G151,G152,G153,G154,G155,G156,G157,G158,G159,G160,G161,G162,G163,G164,G165,G166,G167,G168,G169,G170,G171,G172,G173,G174,G175,G176,G177),"")))))</f>
      </c>
      <c r="P190" s="245"/>
      <c r="Q190" s="245"/>
      <c r="AP190" s="187"/>
      <c r="AQ190" s="180"/>
      <c r="AR190" s="180"/>
      <c r="AS190" s="212"/>
      <c r="AT190" s="187"/>
      <c r="AU190" s="187"/>
      <c r="AV190" s="187"/>
      <c r="AW190" s="187"/>
      <c r="AX190" s="187"/>
      <c r="AY190" s="187"/>
      <c r="AZ190" s="187"/>
      <c r="BA190" s="187"/>
      <c r="BB190" s="212"/>
      <c r="BC190" s="187"/>
      <c r="BD190" s="187"/>
      <c r="BE190" s="187"/>
      <c r="BF190" s="187"/>
      <c r="BG190" s="187"/>
      <c r="BH190" s="187"/>
    </row>
    <row r="191" spans="3:60" ht="12.75">
      <c r="C191" s="245"/>
      <c r="D191" s="245"/>
      <c r="E191" s="245"/>
      <c r="H191" s="211"/>
      <c r="I191" s="245"/>
      <c r="J191" s="245"/>
      <c r="K191" s="246"/>
      <c r="L191" s="182"/>
      <c r="O191" s="245"/>
      <c r="P191" s="245"/>
      <c r="Q191" s="245"/>
      <c r="AP191" s="187"/>
      <c r="AQ191" s="187"/>
      <c r="AR191" s="187"/>
      <c r="AS191" s="213"/>
      <c r="AT191" s="214"/>
      <c r="AU191" s="214"/>
      <c r="AV191" s="214"/>
      <c r="AW191" s="213"/>
      <c r="AX191" s="213"/>
      <c r="AY191" s="187"/>
      <c r="AZ191" s="187"/>
      <c r="BA191" s="187"/>
      <c r="BB191" s="213"/>
      <c r="BC191" s="214"/>
      <c r="BD191" s="214"/>
      <c r="BE191" s="214"/>
      <c r="BF191" s="214"/>
      <c r="BG191" s="214"/>
      <c r="BH191" s="187"/>
    </row>
    <row r="192" spans="3:60" ht="15.75">
      <c r="C192" s="245">
        <f>IF(ISERROR(SEARCH("&amp;",C190)),"",SEARCH("&amp;",C190))</f>
      </c>
      <c r="D192" s="245"/>
      <c r="E192" s="245"/>
      <c r="H192" s="211"/>
      <c r="I192" s="245">
        <f>IF(ISERROR(SEARCH("&amp;",I190)),"",SEARCH("&amp;",I190))</f>
      </c>
      <c r="J192" s="245"/>
      <c r="K192" s="246"/>
      <c r="L192" s="182"/>
      <c r="O192" s="245">
        <f>IF(ISERROR(SEARCH("&amp;",O190)),"",SEARCH("&amp;",O190))</f>
      </c>
      <c r="P192" s="245"/>
      <c r="Q192" s="245"/>
      <c r="AP192" s="187"/>
      <c r="AQ192" s="215"/>
      <c r="AR192" s="216"/>
      <c r="AS192" s="217"/>
      <c r="AT192" s="218"/>
      <c r="AU192" s="218"/>
      <c r="AV192" s="218"/>
      <c r="AW192" s="219"/>
      <c r="AX192" s="218"/>
      <c r="AY192" s="187"/>
      <c r="AZ192" s="215"/>
      <c r="BA192" s="216"/>
      <c r="BB192" s="217"/>
      <c r="BC192" s="218"/>
      <c r="BD192" s="218"/>
      <c r="BE192" s="218"/>
      <c r="BF192" s="219"/>
      <c r="BG192" s="218"/>
      <c r="BH192" s="187"/>
    </row>
    <row r="193" spans="1:60" ht="12.75">
      <c r="A193" s="220"/>
      <c r="B193" s="220"/>
      <c r="C193" s="245">
        <f>IF(ISERROR(MID(C190,1,C192-1)),"",MID(C190,1,C192-1))</f>
      </c>
      <c r="D193" s="245"/>
      <c r="E193" s="245"/>
      <c r="H193" s="211"/>
      <c r="I193" s="245">
        <f>IF(ISERROR(MID(I190,1,I192-1)),"",MID(I190,1,I192-1))</f>
      </c>
      <c r="J193" s="245"/>
      <c r="K193" s="246"/>
      <c r="L193" s="182"/>
      <c r="O193" s="245">
        <f>IF(ISERROR(MID(O190,1,O192-1)),"",MID(O190,1,O192-1))</f>
      </c>
      <c r="P193" s="245"/>
      <c r="Q193" s="245"/>
      <c r="AP193" s="187"/>
      <c r="AQ193" s="187"/>
      <c r="AR193" s="216"/>
      <c r="AS193" s="217"/>
      <c r="AT193" s="218"/>
      <c r="AU193" s="218"/>
      <c r="AV193" s="218"/>
      <c r="AW193" s="219"/>
      <c r="AX193" s="218"/>
      <c r="AY193" s="187"/>
      <c r="AZ193" s="187"/>
      <c r="BA193" s="216"/>
      <c r="BB193" s="217"/>
      <c r="BC193" s="218"/>
      <c r="BD193" s="218"/>
      <c r="BE193" s="218"/>
      <c r="BF193" s="219"/>
      <c r="BG193" s="218"/>
      <c r="BH193" s="187"/>
    </row>
    <row r="194" spans="1:60" ht="12.75">
      <c r="A194" s="221"/>
      <c r="B194" s="221"/>
      <c r="C194" s="245">
        <f>IF(ISERROR(SEARCH("&amp;",C190,C192+1)),"",SEARCH("&amp;",C190,C192+1))</f>
      </c>
      <c r="D194" s="245"/>
      <c r="E194" s="245"/>
      <c r="H194" s="222"/>
      <c r="I194" s="245">
        <f>IF(ISERROR(SEARCH("&amp;",I190,I192+1)),"",SEARCH("&amp;",I190,I192+1))</f>
      </c>
      <c r="J194" s="245"/>
      <c r="K194" s="245"/>
      <c r="O194" s="245">
        <f>IF(ISERROR(SEARCH("&amp;",O190,O192+1)),"",SEARCH("&amp;",O190,O192+1))</f>
      </c>
      <c r="P194" s="245"/>
      <c r="Q194" s="245"/>
      <c r="AP194" s="187"/>
      <c r="AQ194" s="187"/>
      <c r="AR194" s="216"/>
      <c r="AS194" s="217"/>
      <c r="AT194" s="218"/>
      <c r="AU194" s="218"/>
      <c r="AV194" s="218"/>
      <c r="AW194" s="219"/>
      <c r="AX194" s="218"/>
      <c r="AY194" s="187"/>
      <c r="AZ194" s="187"/>
      <c r="BA194" s="216"/>
      <c r="BB194" s="217"/>
      <c r="BC194" s="218"/>
      <c r="BD194" s="218"/>
      <c r="BE194" s="218"/>
      <c r="BF194" s="219"/>
      <c r="BG194" s="218"/>
      <c r="BH194" s="187"/>
    </row>
    <row r="195" spans="3:60" ht="12.75">
      <c r="C195" s="245">
        <f>IF(ISERROR(MID(C190,C192+1,C194-C192-1)),"",MID(C190,C192+1,C194-C192-1))</f>
      </c>
      <c r="D195" s="245"/>
      <c r="E195" s="245"/>
      <c r="H195" s="211"/>
      <c r="I195" s="245">
        <f>IF(ISERROR(MID(I190,I192+1,I194-I192-1)),"",MID(I190,I192+1,I194-I192-1))</f>
      </c>
      <c r="J195" s="245"/>
      <c r="K195" s="245"/>
      <c r="O195" s="245">
        <f>IF(ISERROR(MID(O190,O192+1,O194-O192-1)),"",MID(O190,O192+1,O194-O192-1))</f>
      </c>
      <c r="P195" s="245"/>
      <c r="Q195" s="245"/>
      <c r="AP195" s="187"/>
      <c r="AQ195" s="187"/>
      <c r="AR195" s="216"/>
      <c r="AS195" s="217"/>
      <c r="AT195" s="218"/>
      <c r="AU195" s="218"/>
      <c r="AV195" s="218"/>
      <c r="AW195" s="219"/>
      <c r="AX195" s="218"/>
      <c r="AY195" s="187"/>
      <c r="AZ195" s="187"/>
      <c r="BA195" s="216"/>
      <c r="BB195" s="217"/>
      <c r="BC195" s="218"/>
      <c r="BD195" s="218"/>
      <c r="BE195" s="218"/>
      <c r="BF195" s="219"/>
      <c r="BG195" s="218"/>
      <c r="BH195" s="187"/>
    </row>
    <row r="196" spans="3:60" ht="12.75">
      <c r="C196" s="245">
        <f>IF(ISERROR(SEARCH("&amp;",C190,C194+1)),"",SEARCH("&amp;",C190,C194+1))</f>
      </c>
      <c r="D196" s="245"/>
      <c r="E196" s="245"/>
      <c r="I196" s="245">
        <f>IF(ISERROR(SEARCH("&amp;",I190,I194+1)),"",SEARCH("&amp;",I190,I194+1))</f>
      </c>
      <c r="J196" s="245"/>
      <c r="K196" s="245"/>
      <c r="O196" s="245">
        <f>IF(ISERROR(SEARCH("&amp;",O190,O194+1)),"",SEARCH("&amp;",O190,O194+1))</f>
      </c>
      <c r="P196" s="245"/>
      <c r="Q196" s="245"/>
      <c r="AP196" s="187"/>
      <c r="AQ196" s="187"/>
      <c r="AR196" s="216"/>
      <c r="AS196" s="217"/>
      <c r="AT196" s="218"/>
      <c r="AU196" s="218"/>
      <c r="AV196" s="218"/>
      <c r="AW196" s="219"/>
      <c r="AX196" s="218"/>
      <c r="AY196" s="187"/>
      <c r="AZ196" s="187"/>
      <c r="BA196" s="216"/>
      <c r="BB196" s="217"/>
      <c r="BC196" s="218"/>
      <c r="BD196" s="218"/>
      <c r="BE196" s="218"/>
      <c r="BF196" s="219"/>
      <c r="BG196" s="218"/>
      <c r="BH196" s="187"/>
    </row>
    <row r="197" spans="3:60" ht="12.75">
      <c r="C197" s="245">
        <f>IF(ISERROR(MID(C190,C194+1,C196-C194-1)),"",MID(C190,C194+1,C196-C194-1))</f>
      </c>
      <c r="D197" s="245"/>
      <c r="E197" s="245"/>
      <c r="I197" s="245">
        <f>IF(ISERROR(MID(I190,I194+1,I196-I194-1)),"",MID(I190,I194+1,I196-I194-1))</f>
      </c>
      <c r="J197" s="245"/>
      <c r="K197" s="245"/>
      <c r="O197" s="245">
        <f>IF(ISERROR(MID(O190,O194+1,O196-O194-1)),"",MID(O190,O194+1,O196-O194-1))</f>
      </c>
      <c r="P197" s="245"/>
      <c r="Q197" s="245"/>
      <c r="AP197" s="187"/>
      <c r="AQ197" s="187"/>
      <c r="AR197" s="216"/>
      <c r="AS197" s="217"/>
      <c r="AT197" s="218"/>
      <c r="AU197" s="218"/>
      <c r="AV197" s="218"/>
      <c r="AW197" s="219"/>
      <c r="AX197" s="218"/>
      <c r="AY197" s="187"/>
      <c r="AZ197" s="187"/>
      <c r="BA197" s="216"/>
      <c r="BB197" s="217"/>
      <c r="BC197" s="218"/>
      <c r="BD197" s="218"/>
      <c r="BE197" s="218"/>
      <c r="BF197" s="219"/>
      <c r="BG197" s="218"/>
      <c r="BH197" s="187"/>
    </row>
    <row r="198" spans="3:60" ht="12.75">
      <c r="C198" s="245">
        <f>IF(ISERROR(SEARCH("&amp;",C190,C196+1)),"",SEARCH("&amp;",C190,C196+1))</f>
      </c>
      <c r="D198" s="245"/>
      <c r="E198" s="245"/>
      <c r="I198" s="245">
        <f>IF(ISERROR(SEARCH("&amp;",I190,I196+1)),"",SEARCH("&amp;",I190,I196+1))</f>
      </c>
      <c r="J198" s="245"/>
      <c r="K198" s="245"/>
      <c r="O198" s="245">
        <f>IF(ISERROR(SEARCH("&amp;",O190,O196+1)),"",SEARCH("&amp;",O190,O196+1))</f>
      </c>
      <c r="P198" s="245"/>
      <c r="Q198" s="245"/>
      <c r="AP198" s="187"/>
      <c r="AQ198" s="187"/>
      <c r="AR198" s="216"/>
      <c r="AS198" s="217"/>
      <c r="AT198" s="218"/>
      <c r="AU198" s="218"/>
      <c r="AV198" s="218"/>
      <c r="AW198" s="219"/>
      <c r="AX198" s="218"/>
      <c r="AY198" s="187"/>
      <c r="AZ198" s="187"/>
      <c r="BA198" s="216"/>
      <c r="BB198" s="217"/>
      <c r="BC198" s="218"/>
      <c r="BD198" s="218"/>
      <c r="BE198" s="218"/>
      <c r="BF198" s="219"/>
      <c r="BG198" s="218"/>
      <c r="BH198" s="187"/>
    </row>
    <row r="199" spans="3:60" ht="12.75">
      <c r="C199" s="245">
        <f>IF(ISERROR(MID(C190,C196+1,C198-C196-1)),"",MID(C190,C196+1,C198-C196-1))</f>
      </c>
      <c r="D199" s="245"/>
      <c r="E199" s="245"/>
      <c r="I199" s="245">
        <f>IF(ISERROR(MID(I190,I196+1,I198-I196-1)),"",MID(I190,I196+1,I198-I196-1))</f>
      </c>
      <c r="J199" s="245"/>
      <c r="K199" s="245"/>
      <c r="O199" s="245">
        <f>IF(ISERROR(MID(O190,O196+1,O198-O196-1)),"",MID(O190,O196+1,O198-O196-1))</f>
      </c>
      <c r="P199" s="245"/>
      <c r="Q199" s="245"/>
      <c r="AP199" s="187"/>
      <c r="AQ199" s="187"/>
      <c r="AR199" s="216"/>
      <c r="AS199" s="217"/>
      <c r="AT199" s="218"/>
      <c r="AU199" s="218"/>
      <c r="AV199" s="218"/>
      <c r="AW199" s="219"/>
      <c r="AX199" s="218"/>
      <c r="AY199" s="187"/>
      <c r="AZ199" s="187"/>
      <c r="BA199" s="216"/>
      <c r="BB199" s="217"/>
      <c r="BC199" s="218"/>
      <c r="BD199" s="218"/>
      <c r="BE199" s="218"/>
      <c r="BF199" s="219"/>
      <c r="BG199" s="218"/>
      <c r="BH199" s="187"/>
    </row>
    <row r="200" spans="3:60" ht="12.75">
      <c r="C200" s="245">
        <f>IF(ISERROR(SEARCH("&amp;",C190,C198+1)),"",SEARCH("&amp;",C190,C198+1))</f>
      </c>
      <c r="D200" s="245"/>
      <c r="E200" s="245"/>
      <c r="I200" s="245">
        <f>IF(ISERROR(SEARCH("&amp;",I190,I198+1)),"",SEARCH("&amp;",I190,I198+1))</f>
      </c>
      <c r="J200" s="245"/>
      <c r="K200" s="245"/>
      <c r="O200" s="245">
        <f>IF(ISERROR(SEARCH("&amp;",O190,O198+1)),"",SEARCH("&amp;",O190,O198+1))</f>
      </c>
      <c r="P200" s="245"/>
      <c r="Q200" s="245"/>
      <c r="AP200" s="187"/>
      <c r="AQ200" s="187"/>
      <c r="AR200" s="216"/>
      <c r="AS200" s="217"/>
      <c r="AT200" s="218"/>
      <c r="AU200" s="218"/>
      <c r="AV200" s="218"/>
      <c r="AW200" s="219"/>
      <c r="AX200" s="218"/>
      <c r="AY200" s="187"/>
      <c r="AZ200" s="187"/>
      <c r="BA200" s="216"/>
      <c r="BB200" s="217"/>
      <c r="BC200" s="218"/>
      <c r="BD200" s="218"/>
      <c r="BE200" s="218"/>
      <c r="BF200" s="219"/>
      <c r="BG200" s="218"/>
      <c r="BH200" s="187"/>
    </row>
    <row r="201" spans="3:60" ht="12.75">
      <c r="C201" s="245">
        <f>IF(ISERROR(MID(C190,C198+1,C200-C198-1)),"",MID(C190,C198+1,C200-C198-1))</f>
      </c>
      <c r="D201" s="245"/>
      <c r="E201" s="245"/>
      <c r="I201" s="245">
        <f>IF(ISERROR(MID(I190,I198+1,I200-I198-1)),"",MID(I190,I198+1,I200-I198-1))</f>
      </c>
      <c r="J201" s="245"/>
      <c r="K201" s="245"/>
      <c r="O201" s="245">
        <f>IF(ISERROR(MID(O190,O198+1,O200-O198-1)),"",MID(O190,O198+1,O200-O198-1))</f>
      </c>
      <c r="P201" s="245"/>
      <c r="Q201" s="245"/>
      <c r="AP201" s="187"/>
      <c r="AQ201" s="187"/>
      <c r="AR201" s="216"/>
      <c r="AS201" s="217"/>
      <c r="AT201" s="218"/>
      <c r="AU201" s="218"/>
      <c r="AV201" s="218"/>
      <c r="AW201" s="219"/>
      <c r="AX201" s="218"/>
      <c r="AY201" s="187"/>
      <c r="AZ201" s="187"/>
      <c r="BA201" s="216"/>
      <c r="BB201" s="217"/>
      <c r="BC201" s="218"/>
      <c r="BD201" s="218"/>
      <c r="BE201" s="218"/>
      <c r="BF201" s="219"/>
      <c r="BG201" s="218"/>
      <c r="BH201" s="187"/>
    </row>
    <row r="202" spans="3:60" ht="12.75">
      <c r="C202" s="245">
        <f>IF(ISERROR(SEARCH("&amp;",C190,C200+1)),"",SEARCH("&amp;",C190,C200+1))</f>
      </c>
      <c r="D202" s="245"/>
      <c r="E202" s="245"/>
      <c r="I202" s="245">
        <f>IF(ISERROR(SEARCH("&amp;",I190,I200+1)),"",SEARCH("&amp;",I190,I200+1))</f>
      </c>
      <c r="J202" s="245"/>
      <c r="K202" s="245"/>
      <c r="O202" s="245">
        <f>IF(ISERROR(SEARCH("&amp;",O190,O200+1)),"",SEARCH("&amp;",O190,O200+1))</f>
      </c>
      <c r="P202" s="245"/>
      <c r="Q202" s="245"/>
      <c r="AP202" s="187"/>
      <c r="AQ202" s="187"/>
      <c r="AR202" s="216"/>
      <c r="AS202" s="217"/>
      <c r="AT202" s="218"/>
      <c r="AU202" s="218"/>
      <c r="AV202" s="218"/>
      <c r="AW202" s="219"/>
      <c r="AX202" s="218"/>
      <c r="AY202" s="187"/>
      <c r="AZ202" s="187"/>
      <c r="BA202" s="216"/>
      <c r="BB202" s="217"/>
      <c r="BC202" s="218"/>
      <c r="BD202" s="218"/>
      <c r="BE202" s="218"/>
      <c r="BF202" s="219"/>
      <c r="BG202" s="218"/>
      <c r="BH202" s="187"/>
    </row>
    <row r="203" spans="3:60" ht="12.75">
      <c r="C203" s="245">
        <f>IF(ISERROR(MID(C190,C200+1,C202-C200-1)),"",MID(C190,C200+1,C202-C200-1))</f>
      </c>
      <c r="D203" s="245"/>
      <c r="E203" s="245"/>
      <c r="I203" s="245">
        <f>IF(ISERROR(MID(I190,I200+1,I202-I200-1)),"",MID(I190,I200+1,I202-I200-1))</f>
      </c>
      <c r="J203" s="245"/>
      <c r="K203" s="245"/>
      <c r="O203" s="245">
        <f>IF(ISERROR(MID(O190,O200+1,O202-O200-1)),"",MID(O190,O200+1,O202-O200-1))</f>
      </c>
      <c r="P203" s="245"/>
      <c r="Q203" s="245"/>
      <c r="AP203" s="187"/>
      <c r="AQ203" s="187"/>
      <c r="AR203" s="216"/>
      <c r="AS203" s="217"/>
      <c r="AT203" s="218"/>
      <c r="AU203" s="218"/>
      <c r="AV203" s="218"/>
      <c r="AW203" s="219"/>
      <c r="AX203" s="218"/>
      <c r="AY203" s="187"/>
      <c r="AZ203" s="187"/>
      <c r="BA203" s="216"/>
      <c r="BB203" s="217"/>
      <c r="BC203" s="218"/>
      <c r="BD203" s="218"/>
      <c r="BE203" s="218"/>
      <c r="BF203" s="219"/>
      <c r="BG203" s="218"/>
      <c r="BH203" s="187"/>
    </row>
    <row r="204" spans="7:60" ht="15">
      <c r="G204" s="133"/>
      <c r="H204" s="133"/>
      <c r="I204" s="133"/>
      <c r="J204" s="133"/>
      <c r="K204" s="133"/>
      <c r="L204" s="133"/>
      <c r="AP204" s="223"/>
      <c r="AQ204" s="187"/>
      <c r="AR204" s="216"/>
      <c r="AS204" s="217"/>
      <c r="AT204" s="218"/>
      <c r="AU204" s="218"/>
      <c r="AV204" s="218"/>
      <c r="AW204" s="219"/>
      <c r="AX204" s="218"/>
      <c r="AY204" s="187"/>
      <c r="AZ204" s="187"/>
      <c r="BA204" s="216"/>
      <c r="BB204" s="217"/>
      <c r="BC204" s="218"/>
      <c r="BD204" s="218"/>
      <c r="BE204" s="218"/>
      <c r="BF204" s="219"/>
      <c r="BG204" s="218"/>
      <c r="BH204" s="187"/>
    </row>
    <row r="205" spans="7:60" ht="15">
      <c r="G205" s="133"/>
      <c r="H205" s="133"/>
      <c r="I205" s="133"/>
      <c r="J205" s="133"/>
      <c r="K205" s="133"/>
      <c r="L205" s="133"/>
      <c r="AP205" s="223"/>
      <c r="AQ205" s="187"/>
      <c r="AR205" s="216"/>
      <c r="AS205" s="217"/>
      <c r="AT205" s="218"/>
      <c r="AU205" s="218"/>
      <c r="AV205" s="218"/>
      <c r="AW205" s="219"/>
      <c r="AX205" s="218"/>
      <c r="AY205" s="187"/>
      <c r="AZ205" s="187"/>
      <c r="BA205" s="216"/>
      <c r="BB205" s="217"/>
      <c r="BC205" s="218"/>
      <c r="BD205" s="218"/>
      <c r="BE205" s="218"/>
      <c r="BF205" s="219"/>
      <c r="BG205" s="218"/>
      <c r="BH205" s="187"/>
    </row>
    <row r="206" spans="7:60" ht="15">
      <c r="G206" s="133"/>
      <c r="H206" s="133"/>
      <c r="I206" s="133"/>
      <c r="J206" s="133"/>
      <c r="K206" s="133"/>
      <c r="L206" s="133"/>
      <c r="AP206" s="223"/>
      <c r="AQ206" s="187"/>
      <c r="AR206" s="216"/>
      <c r="AS206" s="217"/>
      <c r="AT206" s="218"/>
      <c r="AU206" s="218"/>
      <c r="AV206" s="218"/>
      <c r="AW206" s="219"/>
      <c r="AX206" s="218"/>
      <c r="AY206" s="187"/>
      <c r="AZ206" s="187"/>
      <c r="BA206" s="216"/>
      <c r="BB206" s="217"/>
      <c r="BC206" s="218"/>
      <c r="BD206" s="218"/>
      <c r="BE206" s="218"/>
      <c r="BF206" s="219"/>
      <c r="BG206" s="218"/>
      <c r="BH206" s="187"/>
    </row>
    <row r="207" spans="7:60" ht="15">
      <c r="G207" s="133"/>
      <c r="H207" s="133"/>
      <c r="I207" s="133"/>
      <c r="J207" s="133"/>
      <c r="K207" s="133"/>
      <c r="L207" s="133"/>
      <c r="AP207" s="223"/>
      <c r="AQ207" s="187"/>
      <c r="AR207" s="216"/>
      <c r="AS207" s="217"/>
      <c r="AT207" s="218"/>
      <c r="AU207" s="218"/>
      <c r="AV207" s="218"/>
      <c r="AW207" s="219"/>
      <c r="AX207" s="218"/>
      <c r="AY207" s="187"/>
      <c r="AZ207" s="187"/>
      <c r="BA207" s="216"/>
      <c r="BB207" s="217"/>
      <c r="BC207" s="218"/>
      <c r="BD207" s="218"/>
      <c r="BE207" s="218"/>
      <c r="BF207" s="219"/>
      <c r="BG207" s="218"/>
      <c r="BH207" s="187"/>
    </row>
    <row r="208" spans="7:60" ht="15">
      <c r="G208" s="133"/>
      <c r="H208" s="133"/>
      <c r="I208" s="133"/>
      <c r="J208" s="133"/>
      <c r="K208" s="133"/>
      <c r="L208" s="133"/>
      <c r="AP208" s="223"/>
      <c r="AQ208" s="187"/>
      <c r="AR208" s="216"/>
      <c r="AS208" s="217"/>
      <c r="AT208" s="218"/>
      <c r="AU208" s="218"/>
      <c r="AV208" s="218"/>
      <c r="AW208" s="219"/>
      <c r="AX208" s="218"/>
      <c r="AY208" s="187"/>
      <c r="AZ208" s="187"/>
      <c r="BA208" s="216"/>
      <c r="BB208" s="217"/>
      <c r="BC208" s="218"/>
      <c r="BD208" s="218"/>
      <c r="BE208" s="218"/>
      <c r="BF208" s="219"/>
      <c r="BG208" s="218"/>
      <c r="BH208" s="187"/>
    </row>
    <row r="209" spans="7:60" ht="15">
      <c r="G209" s="133"/>
      <c r="H209" s="133"/>
      <c r="I209" s="133"/>
      <c r="J209" s="133"/>
      <c r="K209" s="133"/>
      <c r="L209" s="133"/>
      <c r="AP209" s="223"/>
      <c r="AQ209" s="187"/>
      <c r="AR209" s="216"/>
      <c r="AS209" s="217"/>
      <c r="AT209" s="218"/>
      <c r="AU209" s="218"/>
      <c r="AV209" s="218"/>
      <c r="AW209" s="219"/>
      <c r="AX209" s="218"/>
      <c r="AY209" s="187"/>
      <c r="AZ209" s="187"/>
      <c r="BA209" s="216"/>
      <c r="BB209" s="217"/>
      <c r="BC209" s="218"/>
      <c r="BD209" s="218"/>
      <c r="BE209" s="218"/>
      <c r="BF209" s="219"/>
      <c r="BG209" s="218"/>
      <c r="BH209" s="187"/>
    </row>
    <row r="210" spans="7:60" ht="15">
      <c r="G210" s="133"/>
      <c r="H210" s="133"/>
      <c r="I210" s="133"/>
      <c r="J210" s="133"/>
      <c r="K210" s="133"/>
      <c r="L210" s="133"/>
      <c r="AP210" s="223"/>
      <c r="AQ210" s="187"/>
      <c r="AR210" s="216"/>
      <c r="AS210" s="217"/>
      <c r="AT210" s="218"/>
      <c r="AU210" s="218"/>
      <c r="AV210" s="218"/>
      <c r="AW210" s="219"/>
      <c r="AX210" s="218"/>
      <c r="AY210" s="187"/>
      <c r="AZ210" s="187"/>
      <c r="BA210" s="216"/>
      <c r="BB210" s="217"/>
      <c r="BC210" s="218"/>
      <c r="BD210" s="218"/>
      <c r="BE210" s="218"/>
      <c r="BF210" s="219"/>
      <c r="BG210" s="218"/>
      <c r="BH210" s="187"/>
    </row>
    <row r="211" spans="7:60" ht="15">
      <c r="G211" s="133"/>
      <c r="H211" s="133"/>
      <c r="I211" s="133"/>
      <c r="J211" s="133"/>
      <c r="K211" s="133"/>
      <c r="L211" s="133"/>
      <c r="AP211" s="223"/>
      <c r="AQ211" s="187"/>
      <c r="AR211" s="216"/>
      <c r="AS211" s="217"/>
      <c r="AT211" s="218"/>
      <c r="AU211" s="218"/>
      <c r="AV211" s="218"/>
      <c r="AW211" s="219"/>
      <c r="AX211" s="218"/>
      <c r="AY211" s="187"/>
      <c r="AZ211" s="187"/>
      <c r="BA211" s="216"/>
      <c r="BB211" s="217"/>
      <c r="BC211" s="218"/>
      <c r="BD211" s="218"/>
      <c r="BE211" s="218"/>
      <c r="BF211" s="219"/>
      <c r="BG211" s="218"/>
      <c r="BH211" s="187"/>
    </row>
    <row r="212" spans="7:60" ht="15">
      <c r="G212" s="133"/>
      <c r="H212" s="133"/>
      <c r="I212" s="133"/>
      <c r="J212" s="133"/>
      <c r="K212" s="133"/>
      <c r="L212" s="133"/>
      <c r="AP212" s="223"/>
      <c r="AQ212" s="187"/>
      <c r="AR212" s="216"/>
      <c r="AS212" s="217"/>
      <c r="AT212" s="218"/>
      <c r="AU212" s="218"/>
      <c r="AV212" s="218"/>
      <c r="AW212" s="219"/>
      <c r="AX212" s="218"/>
      <c r="AY212" s="187"/>
      <c r="AZ212" s="187"/>
      <c r="BA212" s="216"/>
      <c r="BB212" s="217"/>
      <c r="BC212" s="218"/>
      <c r="BD212" s="218"/>
      <c r="BE212" s="218"/>
      <c r="BF212" s="219"/>
      <c r="BG212" s="218"/>
      <c r="BH212" s="187"/>
    </row>
    <row r="213" spans="7:60" ht="15">
      <c r="G213" s="133"/>
      <c r="H213" s="133"/>
      <c r="I213" s="133"/>
      <c r="J213" s="133"/>
      <c r="K213" s="133"/>
      <c r="L213" s="133"/>
      <c r="AP213" s="223"/>
      <c r="AQ213" s="187"/>
      <c r="AR213" s="216"/>
      <c r="AS213" s="217"/>
      <c r="AT213" s="198"/>
      <c r="AU213" s="198"/>
      <c r="AV213" s="218"/>
      <c r="AW213" s="198"/>
      <c r="AX213" s="218"/>
      <c r="AY213" s="187"/>
      <c r="AZ213" s="187"/>
      <c r="BA213" s="216"/>
      <c r="BB213" s="217"/>
      <c r="BC213" s="198"/>
      <c r="BD213" s="198"/>
      <c r="BE213" s="218"/>
      <c r="BF213" s="198"/>
      <c r="BG213" s="218"/>
      <c r="BH213" s="187"/>
    </row>
    <row r="214" spans="7:60" ht="15">
      <c r="G214" s="133"/>
      <c r="H214" s="133"/>
      <c r="I214" s="133"/>
      <c r="J214" s="133"/>
      <c r="K214" s="133"/>
      <c r="L214" s="133"/>
      <c r="AP214" s="223"/>
      <c r="AQ214" s="187"/>
      <c r="AR214" s="216"/>
      <c r="AS214" s="217"/>
      <c r="AT214" s="198"/>
      <c r="AU214" s="198"/>
      <c r="AV214" s="218"/>
      <c r="AW214" s="198"/>
      <c r="AX214" s="218"/>
      <c r="AY214" s="187"/>
      <c r="AZ214" s="187"/>
      <c r="BA214" s="216"/>
      <c r="BB214" s="217"/>
      <c r="BC214" s="198"/>
      <c r="BD214" s="198"/>
      <c r="BE214" s="218"/>
      <c r="BF214" s="198"/>
      <c r="BG214" s="218"/>
      <c r="BH214" s="187"/>
    </row>
    <row r="215" spans="1:60" ht="15">
      <c r="A215" s="211"/>
      <c r="B215" s="211"/>
      <c r="C215" s="211"/>
      <c r="D215" s="211"/>
      <c r="E215" s="211"/>
      <c r="F215" s="211"/>
      <c r="G215" s="133"/>
      <c r="H215" s="133"/>
      <c r="I215" s="133"/>
      <c r="J215" s="133"/>
      <c r="K215" s="133"/>
      <c r="L215" s="133"/>
      <c r="AP215" s="223"/>
      <c r="AQ215" s="187"/>
      <c r="AR215" s="216"/>
      <c r="AS215" s="217"/>
      <c r="AT215" s="198"/>
      <c r="AU215" s="198"/>
      <c r="AV215" s="218"/>
      <c r="AW215" s="198"/>
      <c r="AX215" s="218"/>
      <c r="AY215" s="187"/>
      <c r="AZ215" s="187"/>
      <c r="BA215" s="216"/>
      <c r="BB215" s="217"/>
      <c r="BC215" s="198"/>
      <c r="BD215" s="198"/>
      <c r="BE215" s="218"/>
      <c r="BF215" s="198"/>
      <c r="BG215" s="218"/>
      <c r="BH215" s="187"/>
    </row>
    <row r="216" spans="1:60" ht="15">
      <c r="A216" s="211"/>
      <c r="B216" s="211"/>
      <c r="C216" s="211"/>
      <c r="D216" s="211"/>
      <c r="E216" s="211"/>
      <c r="F216" s="211"/>
      <c r="G216" s="133"/>
      <c r="H216" s="133"/>
      <c r="I216" s="133"/>
      <c r="J216" s="133"/>
      <c r="K216" s="133"/>
      <c r="L216" s="133"/>
      <c r="AP216" s="223"/>
      <c r="AQ216" s="187"/>
      <c r="AR216" s="216"/>
      <c r="AS216" s="217"/>
      <c r="AT216" s="198"/>
      <c r="AU216" s="198"/>
      <c r="AV216" s="218"/>
      <c r="AW216" s="198"/>
      <c r="AX216" s="218"/>
      <c r="AY216" s="187"/>
      <c r="AZ216" s="187"/>
      <c r="BA216" s="216"/>
      <c r="BB216" s="217"/>
      <c r="BC216" s="198"/>
      <c r="BD216" s="198"/>
      <c r="BE216" s="218"/>
      <c r="BF216" s="198"/>
      <c r="BG216" s="218"/>
      <c r="BH216" s="187"/>
    </row>
    <row r="217" spans="1:78" ht="15">
      <c r="A217" s="211"/>
      <c r="B217" s="211"/>
      <c r="C217" s="211"/>
      <c r="D217" s="211"/>
      <c r="E217" s="211"/>
      <c r="F217" s="211"/>
      <c r="G217" s="133"/>
      <c r="H217" s="133"/>
      <c r="I217" s="133"/>
      <c r="J217" s="133"/>
      <c r="K217" s="133"/>
      <c r="L217" s="133"/>
      <c r="AP217" s="223"/>
      <c r="AQ217" s="180"/>
      <c r="AR217" s="216"/>
      <c r="AS217" s="217"/>
      <c r="AT217" s="198"/>
      <c r="AU217" s="198"/>
      <c r="AV217" s="218"/>
      <c r="AW217" s="198"/>
      <c r="AX217" s="218"/>
      <c r="AY217" s="187"/>
      <c r="AZ217" s="187"/>
      <c r="BA217" s="216"/>
      <c r="BB217" s="217"/>
      <c r="BC217" s="198"/>
      <c r="BD217" s="198"/>
      <c r="BE217" s="218"/>
      <c r="BF217" s="198"/>
      <c r="BG217" s="218"/>
      <c r="BH217" s="187"/>
      <c r="BI217" s="187"/>
      <c r="BJ217" s="187"/>
      <c r="BK217" s="187"/>
      <c r="BL217" s="187"/>
      <c r="BM217" s="187"/>
      <c r="BN217" s="187"/>
      <c r="BO217" s="187"/>
      <c r="BP217" s="187"/>
      <c r="BQ217" s="187"/>
      <c r="BR217" s="187"/>
      <c r="BS217" s="187"/>
      <c r="BT217" s="187"/>
      <c r="BU217" s="187"/>
      <c r="BV217" s="187"/>
      <c r="BW217" s="187"/>
      <c r="BX217" s="187"/>
      <c r="BY217" s="187"/>
      <c r="BZ217" s="187"/>
    </row>
    <row r="218" spans="1:78" ht="15">
      <c r="A218" s="190"/>
      <c r="B218" s="211"/>
      <c r="C218" s="211"/>
      <c r="D218" s="211"/>
      <c r="E218" s="211"/>
      <c r="F218" s="211"/>
      <c r="G218" s="133"/>
      <c r="H218" s="133"/>
      <c r="I218" s="133"/>
      <c r="J218" s="133"/>
      <c r="K218" s="133"/>
      <c r="L218" s="133"/>
      <c r="AP218" s="223"/>
      <c r="AQ218" s="180"/>
      <c r="AR218" s="216"/>
      <c r="AS218" s="217"/>
      <c r="AT218" s="198"/>
      <c r="AU218" s="198"/>
      <c r="AV218" s="218"/>
      <c r="AW218" s="198"/>
      <c r="AX218" s="218"/>
      <c r="AY218" s="187"/>
      <c r="AZ218" s="187"/>
      <c r="BA218" s="216"/>
      <c r="BB218" s="217"/>
      <c r="BC218" s="198"/>
      <c r="BD218" s="198"/>
      <c r="BE218" s="218"/>
      <c r="BF218" s="198"/>
      <c r="BG218" s="218"/>
      <c r="BH218" s="187"/>
      <c r="BI218" s="187"/>
      <c r="BJ218" s="187"/>
      <c r="BK218" s="187"/>
      <c r="BL218" s="187"/>
      <c r="BM218" s="187"/>
      <c r="BN218" s="187"/>
      <c r="BO218" s="187"/>
      <c r="BP218" s="187"/>
      <c r="BQ218" s="187"/>
      <c r="BR218" s="187"/>
      <c r="BS218" s="187"/>
      <c r="BT218" s="187"/>
      <c r="BU218" s="187"/>
      <c r="BV218" s="187"/>
      <c r="BW218" s="187"/>
      <c r="BX218" s="187"/>
      <c r="BY218" s="187"/>
      <c r="BZ218" s="187"/>
    </row>
    <row r="219" spans="1:78" ht="15">
      <c r="A219" s="190"/>
      <c r="B219" s="211"/>
      <c r="C219" s="211"/>
      <c r="D219" s="211"/>
      <c r="E219" s="211"/>
      <c r="F219" s="211"/>
      <c r="G219" s="133"/>
      <c r="H219" s="133"/>
      <c r="I219" s="133"/>
      <c r="J219" s="133"/>
      <c r="K219" s="133"/>
      <c r="L219" s="133"/>
      <c r="AP219" s="223"/>
      <c r="AQ219" s="180"/>
      <c r="AR219" s="216"/>
      <c r="AS219" s="224"/>
      <c r="AT219" s="198"/>
      <c r="AU219" s="198"/>
      <c r="AV219" s="187"/>
      <c r="AW219" s="198"/>
      <c r="AX219" s="187"/>
      <c r="AY219" s="187"/>
      <c r="AZ219" s="187"/>
      <c r="BA219" s="216"/>
      <c r="BB219" s="224"/>
      <c r="BC219" s="198"/>
      <c r="BD219" s="198"/>
      <c r="BE219" s="187"/>
      <c r="BF219" s="198"/>
      <c r="BG219" s="187"/>
      <c r="BH219" s="187"/>
      <c r="BI219" s="187"/>
      <c r="BJ219" s="187"/>
      <c r="BK219" s="187"/>
      <c r="BL219" s="187"/>
      <c r="BM219" s="187"/>
      <c r="BN219" s="187"/>
      <c r="BO219" s="187"/>
      <c r="BP219" s="187"/>
      <c r="BQ219" s="187"/>
      <c r="BR219" s="187"/>
      <c r="BS219" s="187"/>
      <c r="BT219" s="187"/>
      <c r="BU219" s="187"/>
      <c r="BV219" s="187"/>
      <c r="BW219" s="187"/>
      <c r="BX219" s="187"/>
      <c r="BY219" s="187"/>
      <c r="BZ219" s="187"/>
    </row>
    <row r="220" spans="1:78" ht="15">
      <c r="A220" s="190"/>
      <c r="B220" s="211"/>
      <c r="C220" s="211"/>
      <c r="D220" s="180"/>
      <c r="E220" s="211"/>
      <c r="F220" s="180"/>
      <c r="G220" s="133"/>
      <c r="H220" s="133"/>
      <c r="I220" s="133"/>
      <c r="J220" s="133"/>
      <c r="K220" s="133"/>
      <c r="L220" s="133"/>
      <c r="AP220" s="223"/>
      <c r="AQ220" s="187"/>
      <c r="AR220" s="216"/>
      <c r="AS220" s="224"/>
      <c r="AT220" s="198"/>
      <c r="AU220" s="198"/>
      <c r="AV220" s="187"/>
      <c r="AW220" s="198"/>
      <c r="AX220" s="187"/>
      <c r="AY220" s="187"/>
      <c r="AZ220" s="187"/>
      <c r="BA220" s="216"/>
      <c r="BB220" s="224"/>
      <c r="BC220" s="198"/>
      <c r="BD220" s="198"/>
      <c r="BE220" s="187"/>
      <c r="BF220" s="198"/>
      <c r="BG220" s="187"/>
      <c r="BH220" s="187"/>
      <c r="BI220" s="187"/>
      <c r="BJ220" s="187"/>
      <c r="BK220" s="187"/>
      <c r="BL220" s="187"/>
      <c r="BM220" s="187"/>
      <c r="BN220" s="187"/>
      <c r="BO220" s="187"/>
      <c r="BP220" s="187"/>
      <c r="BQ220" s="187"/>
      <c r="BR220" s="187"/>
      <c r="BS220" s="187"/>
      <c r="BT220" s="187"/>
      <c r="BU220" s="187"/>
      <c r="BV220" s="187"/>
      <c r="BW220" s="187"/>
      <c r="BX220" s="187"/>
      <c r="BY220" s="187"/>
      <c r="BZ220" s="187"/>
    </row>
    <row r="221" spans="1:78" ht="15">
      <c r="A221" s="190"/>
      <c r="B221" s="211"/>
      <c r="C221" s="211"/>
      <c r="D221" s="180"/>
      <c r="E221" s="211"/>
      <c r="F221" s="180"/>
      <c r="G221" s="133"/>
      <c r="H221" s="133"/>
      <c r="I221" s="133"/>
      <c r="J221" s="133"/>
      <c r="K221" s="133"/>
      <c r="L221" s="133"/>
      <c r="AP221" s="223"/>
      <c r="AQ221" s="187"/>
      <c r="AR221" s="216"/>
      <c r="AS221" s="224"/>
      <c r="AT221" s="198"/>
      <c r="AU221" s="198"/>
      <c r="AV221" s="187"/>
      <c r="AW221" s="198"/>
      <c r="AX221" s="187"/>
      <c r="AY221" s="187"/>
      <c r="AZ221" s="187"/>
      <c r="BA221" s="216"/>
      <c r="BB221" s="224"/>
      <c r="BC221" s="198"/>
      <c r="BD221" s="198"/>
      <c r="BE221" s="187"/>
      <c r="BF221" s="198"/>
      <c r="BG221" s="187"/>
      <c r="BH221" s="187"/>
      <c r="BI221" s="180"/>
      <c r="BJ221" s="180"/>
      <c r="BK221" s="180"/>
      <c r="BL221" s="187"/>
      <c r="BM221" s="187"/>
      <c r="BN221" s="187"/>
      <c r="BO221" s="187"/>
      <c r="BP221" s="187"/>
      <c r="BQ221" s="187"/>
      <c r="BR221" s="187"/>
      <c r="BS221" s="187"/>
      <c r="BT221" s="187"/>
      <c r="BU221" s="187"/>
      <c r="BV221" s="187"/>
      <c r="BW221" s="187"/>
      <c r="BX221" s="187"/>
      <c r="BY221" s="187"/>
      <c r="BZ221" s="187"/>
    </row>
    <row r="222" spans="1:78" ht="15">
      <c r="A222" s="190"/>
      <c r="B222" s="211"/>
      <c r="C222" s="211"/>
      <c r="D222" s="180"/>
      <c r="E222" s="211"/>
      <c r="F222" s="180"/>
      <c r="G222" s="133"/>
      <c r="H222" s="133"/>
      <c r="I222" s="133"/>
      <c r="J222" s="133"/>
      <c r="K222" s="133"/>
      <c r="L222" s="133"/>
      <c r="AP222" s="223"/>
      <c r="AQ222" s="187"/>
      <c r="AR222" s="187"/>
      <c r="AS222" s="187"/>
      <c r="AT222" s="187"/>
      <c r="AU222" s="187"/>
      <c r="AV222" s="187"/>
      <c r="AW222" s="187"/>
      <c r="AX222" s="187"/>
      <c r="AY222" s="187"/>
      <c r="AZ222" s="187"/>
      <c r="BA222" s="187"/>
      <c r="BB222" s="187"/>
      <c r="BC222" s="187"/>
      <c r="BD222" s="187"/>
      <c r="BE222" s="187"/>
      <c r="BF222" s="187"/>
      <c r="BG222" s="187"/>
      <c r="BH222" s="187"/>
      <c r="BI222" s="180"/>
      <c r="BJ222" s="180"/>
      <c r="BK222" s="180"/>
      <c r="BL222" s="187"/>
      <c r="BM222" s="187"/>
      <c r="BN222" s="187"/>
      <c r="BO222" s="187"/>
      <c r="BP222" s="187"/>
      <c r="BQ222" s="187"/>
      <c r="BR222" s="187"/>
      <c r="BS222" s="187"/>
      <c r="BT222" s="187"/>
      <c r="BU222" s="187"/>
      <c r="BV222" s="187"/>
      <c r="BW222" s="187"/>
      <c r="BX222" s="187"/>
      <c r="BY222" s="187"/>
      <c r="BZ222" s="187"/>
    </row>
    <row r="223" spans="1:78" ht="15">
      <c r="A223" s="190"/>
      <c r="B223" s="211"/>
      <c r="C223" s="211"/>
      <c r="D223" s="180"/>
      <c r="E223" s="211"/>
      <c r="F223" s="180"/>
      <c r="G223" s="133"/>
      <c r="H223" s="133"/>
      <c r="I223" s="133"/>
      <c r="J223" s="133"/>
      <c r="K223" s="133"/>
      <c r="L223" s="133"/>
      <c r="AP223" s="223"/>
      <c r="AQ223" s="187"/>
      <c r="AR223" s="187"/>
      <c r="AS223" s="187"/>
      <c r="AT223" s="187"/>
      <c r="AU223" s="187"/>
      <c r="AV223" s="187"/>
      <c r="AW223" s="187"/>
      <c r="AX223" s="187"/>
      <c r="AY223" s="187"/>
      <c r="AZ223" s="187"/>
      <c r="BA223" s="187"/>
      <c r="BB223" s="187"/>
      <c r="BC223" s="187"/>
      <c r="BD223" s="187"/>
      <c r="BE223" s="187"/>
      <c r="BF223" s="187"/>
      <c r="BG223" s="187"/>
      <c r="BH223" s="187"/>
      <c r="BI223" s="180"/>
      <c r="BJ223" s="180"/>
      <c r="BK223" s="180"/>
      <c r="BL223" s="187"/>
      <c r="BM223" s="187"/>
      <c r="BN223" s="187"/>
      <c r="BO223" s="187"/>
      <c r="BP223" s="187"/>
      <c r="BQ223" s="187"/>
      <c r="BR223" s="187"/>
      <c r="BS223" s="187"/>
      <c r="BT223" s="187"/>
      <c r="BU223" s="187"/>
      <c r="BV223" s="187"/>
      <c r="BW223" s="187"/>
      <c r="BX223" s="187"/>
      <c r="BY223" s="187"/>
      <c r="BZ223" s="187"/>
    </row>
    <row r="224" spans="1:78" ht="15.75">
      <c r="A224" s="190"/>
      <c r="B224" s="211"/>
      <c r="C224" s="211"/>
      <c r="D224" s="180"/>
      <c r="E224" s="211"/>
      <c r="F224" s="180"/>
      <c r="G224" s="133"/>
      <c r="H224" s="133"/>
      <c r="I224" s="133"/>
      <c r="J224" s="133"/>
      <c r="K224" s="133"/>
      <c r="L224" s="133"/>
      <c r="AP224" s="223"/>
      <c r="AQ224" s="215"/>
      <c r="AR224" s="216"/>
      <c r="AS224" s="224"/>
      <c r="AT224" s="218"/>
      <c r="AU224" s="218"/>
      <c r="AV224" s="218"/>
      <c r="AW224" s="218"/>
      <c r="AX224" s="218"/>
      <c r="AY224" s="187"/>
      <c r="AZ224" s="215"/>
      <c r="BA224" s="216"/>
      <c r="BB224" s="224"/>
      <c r="BC224" s="187"/>
      <c r="BD224" s="187"/>
      <c r="BE224" s="218"/>
      <c r="BF224" s="187"/>
      <c r="BG224" s="218"/>
      <c r="BH224" s="187"/>
      <c r="BI224" s="180"/>
      <c r="BJ224" s="180"/>
      <c r="BK224" s="180"/>
      <c r="BL224" s="187"/>
      <c r="BM224" s="187"/>
      <c r="BN224" s="187"/>
      <c r="BO224" s="187"/>
      <c r="BP224" s="187"/>
      <c r="BQ224" s="187"/>
      <c r="BR224" s="187"/>
      <c r="BS224" s="187"/>
      <c r="BT224" s="187"/>
      <c r="BU224" s="187"/>
      <c r="BV224" s="187"/>
      <c r="BW224" s="187"/>
      <c r="BX224" s="187"/>
      <c r="BY224" s="187"/>
      <c r="BZ224" s="187"/>
    </row>
    <row r="225" spans="1:78" ht="15">
      <c r="A225" s="190"/>
      <c r="B225" s="211"/>
      <c r="C225" s="211"/>
      <c r="D225" s="180"/>
      <c r="E225" s="211"/>
      <c r="F225" s="180"/>
      <c r="G225" s="133"/>
      <c r="H225" s="133"/>
      <c r="I225" s="133"/>
      <c r="J225" s="133"/>
      <c r="K225" s="133"/>
      <c r="L225" s="133"/>
      <c r="AP225" s="223"/>
      <c r="AQ225" s="180"/>
      <c r="AR225" s="216"/>
      <c r="AS225" s="224"/>
      <c r="AT225" s="218"/>
      <c r="AU225" s="218"/>
      <c r="AV225" s="218"/>
      <c r="AW225" s="218"/>
      <c r="AX225" s="218"/>
      <c r="AY225" s="187"/>
      <c r="AZ225" s="187"/>
      <c r="BA225" s="216"/>
      <c r="BB225" s="224"/>
      <c r="BC225" s="218"/>
      <c r="BD225" s="218"/>
      <c r="BE225" s="218"/>
      <c r="BF225" s="218"/>
      <c r="BG225" s="218"/>
      <c r="BH225" s="187"/>
      <c r="BI225" s="187"/>
      <c r="BJ225" s="187"/>
      <c r="BK225" s="187"/>
      <c r="BL225" s="187"/>
      <c r="BM225" s="187"/>
      <c r="BN225" s="187"/>
      <c r="BO225" s="187"/>
      <c r="BP225" s="187"/>
      <c r="BQ225" s="187"/>
      <c r="BR225" s="187"/>
      <c r="BS225" s="187"/>
      <c r="BT225" s="187"/>
      <c r="BU225" s="187"/>
      <c r="BV225" s="187"/>
      <c r="BW225" s="187"/>
      <c r="BX225" s="187"/>
      <c r="BY225" s="187"/>
      <c r="BZ225" s="187"/>
    </row>
    <row r="226" spans="1:78" ht="15">
      <c r="A226" s="190"/>
      <c r="B226" s="211"/>
      <c r="C226" s="211"/>
      <c r="D226" s="180"/>
      <c r="E226" s="211"/>
      <c r="F226" s="180"/>
      <c r="G226" s="133"/>
      <c r="H226" s="133"/>
      <c r="I226" s="133"/>
      <c r="J226" s="133"/>
      <c r="K226" s="133"/>
      <c r="L226" s="133"/>
      <c r="AP226" s="223"/>
      <c r="AQ226" s="180"/>
      <c r="AR226" s="216"/>
      <c r="AS226" s="224"/>
      <c r="AT226" s="218"/>
      <c r="AU226" s="218"/>
      <c r="AV226" s="218"/>
      <c r="AW226" s="218"/>
      <c r="AX226" s="218"/>
      <c r="AY226" s="187"/>
      <c r="AZ226" s="187"/>
      <c r="BA226" s="216"/>
      <c r="BB226" s="224"/>
      <c r="BC226" s="218"/>
      <c r="BD226" s="218"/>
      <c r="BE226" s="218"/>
      <c r="BF226" s="218"/>
      <c r="BG226" s="218"/>
      <c r="BH226" s="187"/>
      <c r="BI226" s="187"/>
      <c r="BJ226" s="187"/>
      <c r="BK226" s="187"/>
      <c r="BL226" s="187"/>
      <c r="BM226" s="187"/>
      <c r="BN226" s="187"/>
      <c r="BO226" s="217"/>
      <c r="BP226" s="217"/>
      <c r="BQ226" s="187"/>
      <c r="BR226" s="187"/>
      <c r="BS226" s="187"/>
      <c r="BT226" s="187"/>
      <c r="BU226" s="187"/>
      <c r="BV226" s="187"/>
      <c r="BW226" s="187"/>
      <c r="BX226" s="187"/>
      <c r="BY226" s="187"/>
      <c r="BZ226" s="187"/>
    </row>
    <row r="227" spans="1:78" ht="15">
      <c r="A227" s="190"/>
      <c r="B227" s="211"/>
      <c r="C227" s="211"/>
      <c r="D227" s="180"/>
      <c r="E227" s="211"/>
      <c r="F227" s="180"/>
      <c r="G227" s="133"/>
      <c r="H227" s="133"/>
      <c r="I227" s="133"/>
      <c r="J227" s="133"/>
      <c r="K227" s="133"/>
      <c r="L227" s="133"/>
      <c r="AP227" s="223"/>
      <c r="AQ227" s="180"/>
      <c r="AR227" s="216"/>
      <c r="AS227" s="224"/>
      <c r="AT227" s="218"/>
      <c r="AU227" s="218"/>
      <c r="AV227" s="218"/>
      <c r="AW227" s="218"/>
      <c r="AX227" s="218"/>
      <c r="AY227" s="187"/>
      <c r="AZ227" s="187"/>
      <c r="BA227" s="216"/>
      <c r="BB227" s="224"/>
      <c r="BC227" s="218"/>
      <c r="BD227" s="218"/>
      <c r="BE227" s="218"/>
      <c r="BF227" s="218"/>
      <c r="BG227" s="218"/>
      <c r="BH227" s="187"/>
      <c r="BY227" s="187"/>
      <c r="BZ227" s="187"/>
    </row>
    <row r="228" spans="1:78" ht="15">
      <c r="A228" s="190"/>
      <c r="B228" s="211"/>
      <c r="C228" s="211"/>
      <c r="D228" s="180"/>
      <c r="E228" s="211"/>
      <c r="F228" s="180"/>
      <c r="G228" s="133"/>
      <c r="H228" s="133"/>
      <c r="I228" s="133"/>
      <c r="J228" s="133"/>
      <c r="K228" s="133"/>
      <c r="L228" s="133"/>
      <c r="AP228" s="223"/>
      <c r="AQ228" s="187"/>
      <c r="AR228" s="216"/>
      <c r="AS228" s="224"/>
      <c r="AT228" s="218"/>
      <c r="AU228" s="218"/>
      <c r="AV228" s="218"/>
      <c r="AW228" s="218"/>
      <c r="AX228" s="218"/>
      <c r="AY228" s="187"/>
      <c r="AZ228" s="187"/>
      <c r="BA228" s="216"/>
      <c r="BB228" s="224"/>
      <c r="BC228" s="218"/>
      <c r="BD228" s="218"/>
      <c r="BE228" s="218"/>
      <c r="BF228" s="218"/>
      <c r="BG228" s="218"/>
      <c r="BH228" s="187"/>
      <c r="BY228" s="187"/>
      <c r="BZ228" s="187"/>
    </row>
    <row r="229" spans="1:78" ht="15">
      <c r="A229" s="190"/>
      <c r="B229" s="211"/>
      <c r="C229" s="211"/>
      <c r="D229" s="180"/>
      <c r="E229" s="211"/>
      <c r="F229" s="180"/>
      <c r="G229" s="133"/>
      <c r="H229" s="133"/>
      <c r="I229" s="133"/>
      <c r="J229" s="133"/>
      <c r="K229" s="133"/>
      <c r="L229" s="133"/>
      <c r="AP229" s="223"/>
      <c r="AQ229" s="180"/>
      <c r="AR229" s="216"/>
      <c r="AS229" s="224"/>
      <c r="AT229" s="218"/>
      <c r="AU229" s="218"/>
      <c r="AV229" s="218"/>
      <c r="AW229" s="218"/>
      <c r="AX229" s="218"/>
      <c r="AY229" s="187"/>
      <c r="AZ229" s="187"/>
      <c r="BA229" s="216"/>
      <c r="BB229" s="224"/>
      <c r="BC229" s="218"/>
      <c r="BD229" s="218"/>
      <c r="BE229" s="218"/>
      <c r="BF229" s="218"/>
      <c r="BG229" s="218"/>
      <c r="BH229" s="187"/>
      <c r="BY229" s="187"/>
      <c r="BZ229" s="187"/>
    </row>
    <row r="230" spans="1:78" ht="15">
      <c r="A230" s="190"/>
      <c r="B230" s="211"/>
      <c r="C230" s="211"/>
      <c r="D230" s="180"/>
      <c r="E230" s="211"/>
      <c r="F230" s="180"/>
      <c r="G230" s="133"/>
      <c r="H230" s="133"/>
      <c r="I230" s="133"/>
      <c r="J230" s="133"/>
      <c r="K230" s="133"/>
      <c r="L230" s="133"/>
      <c r="AP230" s="223"/>
      <c r="AQ230" s="180"/>
      <c r="AR230" s="216"/>
      <c r="AS230" s="224"/>
      <c r="AT230" s="218"/>
      <c r="AU230" s="218"/>
      <c r="AV230" s="218"/>
      <c r="AW230" s="218"/>
      <c r="AX230" s="218"/>
      <c r="AY230" s="187"/>
      <c r="AZ230" s="187"/>
      <c r="BA230" s="216"/>
      <c r="BB230" s="224"/>
      <c r="BC230" s="218"/>
      <c r="BD230" s="218"/>
      <c r="BE230" s="218"/>
      <c r="BF230" s="218"/>
      <c r="BG230" s="218"/>
      <c r="BH230" s="187"/>
      <c r="BY230" s="187"/>
      <c r="BZ230" s="187"/>
    </row>
    <row r="231" spans="1:78" ht="15">
      <c r="A231" s="190"/>
      <c r="B231" s="211"/>
      <c r="C231" s="211"/>
      <c r="D231" s="180"/>
      <c r="E231" s="211"/>
      <c r="F231" s="180"/>
      <c r="G231" s="133"/>
      <c r="H231" s="133"/>
      <c r="I231" s="133"/>
      <c r="AP231" s="223"/>
      <c r="AQ231" s="180"/>
      <c r="AR231" s="216"/>
      <c r="AS231" s="224"/>
      <c r="AT231" s="218"/>
      <c r="AU231" s="218"/>
      <c r="AV231" s="218"/>
      <c r="AW231" s="218"/>
      <c r="AX231" s="218"/>
      <c r="AY231" s="187"/>
      <c r="AZ231" s="187"/>
      <c r="BA231" s="216"/>
      <c r="BB231" s="224"/>
      <c r="BC231" s="218"/>
      <c r="BD231" s="218"/>
      <c r="BE231" s="218"/>
      <c r="BF231" s="218"/>
      <c r="BG231" s="218"/>
      <c r="BH231" s="187"/>
      <c r="BY231" s="187"/>
      <c r="BZ231" s="187"/>
    </row>
    <row r="232" spans="1:78" ht="15">
      <c r="A232" s="190"/>
      <c r="B232" s="211"/>
      <c r="C232" s="211"/>
      <c r="D232" s="180"/>
      <c r="E232" s="211"/>
      <c r="F232" s="180"/>
      <c r="G232" s="133"/>
      <c r="H232" s="133"/>
      <c r="I232" s="133"/>
      <c r="AJ232" s="187"/>
      <c r="AK232" s="187"/>
      <c r="AL232" s="187"/>
      <c r="AM232" s="187"/>
      <c r="AN232" s="187"/>
      <c r="AO232" s="187"/>
      <c r="AP232" s="223"/>
      <c r="AQ232" s="180"/>
      <c r="AR232" s="216"/>
      <c r="AS232" s="224"/>
      <c r="AT232" s="218"/>
      <c r="AU232" s="218"/>
      <c r="AV232" s="218"/>
      <c r="AW232" s="218"/>
      <c r="AX232" s="218"/>
      <c r="AY232" s="187"/>
      <c r="AZ232" s="187"/>
      <c r="BA232" s="216"/>
      <c r="BB232" s="224"/>
      <c r="BC232" s="218"/>
      <c r="BD232" s="218"/>
      <c r="BE232" s="218"/>
      <c r="BF232" s="218"/>
      <c r="BG232" s="218"/>
      <c r="BH232" s="187"/>
      <c r="BY232" s="187"/>
      <c r="BZ232" s="187"/>
    </row>
    <row r="233" spans="1:78" ht="15">
      <c r="A233" s="190"/>
      <c r="B233" s="211"/>
      <c r="C233" s="211"/>
      <c r="D233" s="180"/>
      <c r="E233" s="211"/>
      <c r="F233" s="180"/>
      <c r="G233" s="133"/>
      <c r="H233" s="133"/>
      <c r="I233" s="133"/>
      <c r="AP233" s="223"/>
      <c r="AQ233" s="180"/>
      <c r="AR233" s="216"/>
      <c r="AS233" s="224"/>
      <c r="AT233" s="218"/>
      <c r="AU233" s="218"/>
      <c r="AV233" s="218"/>
      <c r="AW233" s="218"/>
      <c r="AX233" s="218"/>
      <c r="AY233" s="187"/>
      <c r="AZ233" s="187"/>
      <c r="BA233" s="216"/>
      <c r="BB233" s="224"/>
      <c r="BC233" s="218"/>
      <c r="BD233" s="218"/>
      <c r="BE233" s="218"/>
      <c r="BF233" s="218"/>
      <c r="BG233" s="218"/>
      <c r="BH233" s="187"/>
      <c r="BY233" s="187"/>
      <c r="BZ233" s="187"/>
    </row>
    <row r="234" spans="1:78" ht="15">
      <c r="A234" s="193"/>
      <c r="B234" s="211"/>
      <c r="C234" s="211"/>
      <c r="D234" s="180"/>
      <c r="E234" s="211"/>
      <c r="F234" s="180"/>
      <c r="G234" s="133"/>
      <c r="H234" s="133"/>
      <c r="I234" s="133"/>
      <c r="AP234" s="223"/>
      <c r="AQ234" s="180"/>
      <c r="AR234" s="216"/>
      <c r="AS234" s="225"/>
      <c r="AT234" s="198"/>
      <c r="AU234" s="198"/>
      <c r="AV234" s="218"/>
      <c r="AW234" s="198"/>
      <c r="AX234" s="218"/>
      <c r="AY234" s="187"/>
      <c r="AZ234" s="187"/>
      <c r="BA234" s="216"/>
      <c r="BB234" s="225"/>
      <c r="BC234" s="198"/>
      <c r="BD234" s="198"/>
      <c r="BE234" s="187"/>
      <c r="BF234" s="198"/>
      <c r="BG234" s="187"/>
      <c r="BH234" s="187"/>
      <c r="BY234" s="187"/>
      <c r="BZ234" s="187"/>
    </row>
    <row r="235" spans="1:78" ht="15">
      <c r="A235" s="190"/>
      <c r="B235" s="211"/>
      <c r="C235" s="211"/>
      <c r="D235" s="180"/>
      <c r="E235" s="211"/>
      <c r="F235" s="180"/>
      <c r="G235" s="133"/>
      <c r="H235" s="133"/>
      <c r="I235" s="133"/>
      <c r="AP235" s="223"/>
      <c r="AQ235" s="187"/>
      <c r="AR235" s="216"/>
      <c r="AS235" s="225"/>
      <c r="AT235" s="198"/>
      <c r="AU235" s="198"/>
      <c r="AV235" s="218"/>
      <c r="AW235" s="198"/>
      <c r="AX235" s="218"/>
      <c r="AY235" s="187"/>
      <c r="AZ235" s="187"/>
      <c r="BA235" s="216"/>
      <c r="BB235" s="225"/>
      <c r="BC235" s="198"/>
      <c r="BD235" s="198"/>
      <c r="BE235" s="187"/>
      <c r="BF235" s="198"/>
      <c r="BG235" s="187"/>
      <c r="BH235" s="187"/>
      <c r="BY235" s="187"/>
      <c r="BZ235" s="187"/>
    </row>
    <row r="236" spans="1:78" ht="15">
      <c r="A236" s="190"/>
      <c r="B236" s="211"/>
      <c r="C236" s="211"/>
      <c r="D236" s="180"/>
      <c r="E236" s="211"/>
      <c r="F236" s="180"/>
      <c r="G236" s="133"/>
      <c r="H236" s="133"/>
      <c r="I236" s="133"/>
      <c r="AP236" s="223"/>
      <c r="AQ236" s="187"/>
      <c r="AR236" s="216"/>
      <c r="AS236" s="225"/>
      <c r="AT236" s="198"/>
      <c r="AU236" s="198"/>
      <c r="AV236" s="218"/>
      <c r="AW236" s="198"/>
      <c r="AX236" s="218"/>
      <c r="AY236" s="187"/>
      <c r="AZ236" s="187"/>
      <c r="BA236" s="216"/>
      <c r="BB236" s="225"/>
      <c r="BC236" s="198"/>
      <c r="BD236" s="198"/>
      <c r="BE236" s="187"/>
      <c r="BF236" s="198"/>
      <c r="BG236" s="187"/>
      <c r="BH236" s="187"/>
      <c r="BY236" s="187"/>
      <c r="BZ236" s="187"/>
    </row>
    <row r="237" spans="1:78" ht="15">
      <c r="A237" s="190"/>
      <c r="B237" s="211"/>
      <c r="C237" s="211"/>
      <c r="D237" s="180"/>
      <c r="E237" s="211"/>
      <c r="F237" s="180"/>
      <c r="G237" s="133"/>
      <c r="H237" s="133"/>
      <c r="I237" s="133"/>
      <c r="AP237" s="223"/>
      <c r="AQ237" s="187"/>
      <c r="AR237" s="216"/>
      <c r="AS237" s="225"/>
      <c r="AT237" s="198"/>
      <c r="AU237" s="198"/>
      <c r="AV237" s="218"/>
      <c r="AW237" s="198"/>
      <c r="AX237" s="218"/>
      <c r="AY237" s="187"/>
      <c r="AZ237" s="187"/>
      <c r="BA237" s="216"/>
      <c r="BB237" s="225"/>
      <c r="BC237" s="198"/>
      <c r="BD237" s="198"/>
      <c r="BE237" s="187"/>
      <c r="BF237" s="198"/>
      <c r="BG237" s="187"/>
      <c r="BH237" s="187"/>
      <c r="BY237" s="187"/>
      <c r="BZ237" s="187"/>
    </row>
    <row r="238" spans="1:78" ht="15">
      <c r="A238" s="190"/>
      <c r="B238" s="211"/>
      <c r="C238" s="211"/>
      <c r="D238" s="180"/>
      <c r="E238" s="211"/>
      <c r="F238" s="180"/>
      <c r="G238" s="133"/>
      <c r="H238" s="133"/>
      <c r="I238" s="133"/>
      <c r="AP238" s="223"/>
      <c r="AQ238" s="187"/>
      <c r="AR238" s="216"/>
      <c r="AS238" s="225"/>
      <c r="AT238" s="198"/>
      <c r="AU238" s="198"/>
      <c r="AV238" s="218"/>
      <c r="AW238" s="198"/>
      <c r="AX238" s="218"/>
      <c r="AY238" s="187"/>
      <c r="AZ238" s="187"/>
      <c r="BA238" s="216"/>
      <c r="BB238" s="225"/>
      <c r="BC238" s="198"/>
      <c r="BD238" s="198"/>
      <c r="BE238" s="187"/>
      <c r="BF238" s="198"/>
      <c r="BG238" s="187"/>
      <c r="BH238" s="187"/>
      <c r="BY238" s="187"/>
      <c r="BZ238" s="187"/>
    </row>
    <row r="239" spans="1:78" ht="15">
      <c r="A239" s="190"/>
      <c r="B239" s="211"/>
      <c r="C239" s="211"/>
      <c r="D239" s="180"/>
      <c r="E239" s="211"/>
      <c r="F239" s="180"/>
      <c r="G239" s="133"/>
      <c r="H239" s="133"/>
      <c r="I239" s="133"/>
      <c r="AP239" s="223"/>
      <c r="AQ239" s="187"/>
      <c r="AR239" s="216"/>
      <c r="AS239" s="225"/>
      <c r="AT239" s="198"/>
      <c r="AU239" s="198"/>
      <c r="AV239" s="218"/>
      <c r="AW239" s="198"/>
      <c r="AX239" s="218"/>
      <c r="AY239" s="187"/>
      <c r="AZ239" s="187"/>
      <c r="BA239" s="216"/>
      <c r="BB239" s="225"/>
      <c r="BC239" s="198"/>
      <c r="BD239" s="198"/>
      <c r="BE239" s="187"/>
      <c r="BF239" s="198"/>
      <c r="BG239" s="187"/>
      <c r="BH239" s="187"/>
      <c r="BY239" s="187"/>
      <c r="BZ239" s="187"/>
    </row>
    <row r="240" spans="1:78" ht="15">
      <c r="A240" s="190"/>
      <c r="B240" s="211"/>
      <c r="C240" s="211"/>
      <c r="D240" s="180"/>
      <c r="E240" s="211"/>
      <c r="F240" s="180"/>
      <c r="G240" s="133"/>
      <c r="H240" s="133"/>
      <c r="I240" s="133"/>
      <c r="AP240" s="198"/>
      <c r="AQ240" s="187"/>
      <c r="AR240" s="216"/>
      <c r="AS240" s="225"/>
      <c r="AT240" s="198"/>
      <c r="AU240" s="198"/>
      <c r="AV240" s="218"/>
      <c r="AW240" s="198"/>
      <c r="AX240" s="218"/>
      <c r="AY240" s="187"/>
      <c r="AZ240" s="187"/>
      <c r="BA240" s="216"/>
      <c r="BB240" s="225"/>
      <c r="BC240" s="198"/>
      <c r="BD240" s="198"/>
      <c r="BE240" s="187"/>
      <c r="BF240" s="198"/>
      <c r="BG240" s="187"/>
      <c r="BH240" s="187"/>
      <c r="BY240" s="187"/>
      <c r="BZ240" s="187"/>
    </row>
    <row r="241" spans="1:78" ht="15">
      <c r="A241" s="190"/>
      <c r="B241" s="211"/>
      <c r="C241" s="211"/>
      <c r="D241" s="180"/>
      <c r="E241" s="211"/>
      <c r="F241" s="180"/>
      <c r="G241" s="133"/>
      <c r="H241" s="133"/>
      <c r="I241" s="133"/>
      <c r="AP241" s="187"/>
      <c r="AQ241" s="187"/>
      <c r="AR241" s="216"/>
      <c r="AS241" s="225"/>
      <c r="AT241" s="198"/>
      <c r="AU241" s="198"/>
      <c r="AV241" s="218"/>
      <c r="AW241" s="198"/>
      <c r="AX241" s="218"/>
      <c r="AY241" s="187"/>
      <c r="AZ241" s="187"/>
      <c r="BA241" s="216"/>
      <c r="BB241" s="225"/>
      <c r="BC241" s="198"/>
      <c r="BD241" s="198"/>
      <c r="BE241" s="187"/>
      <c r="BF241" s="198"/>
      <c r="BG241" s="187"/>
      <c r="BH241" s="187"/>
      <c r="BY241" s="187"/>
      <c r="BZ241" s="187"/>
    </row>
    <row r="242" spans="1:78" ht="15">
      <c r="A242" s="190"/>
      <c r="B242" s="211"/>
      <c r="C242" s="211"/>
      <c r="D242" s="180"/>
      <c r="E242" s="211"/>
      <c r="F242" s="180"/>
      <c r="G242" s="133"/>
      <c r="H242" s="133"/>
      <c r="I242" s="133"/>
      <c r="AP242" s="187"/>
      <c r="AQ242" s="187"/>
      <c r="AR242" s="216"/>
      <c r="AS242" s="225"/>
      <c r="AT242" s="198"/>
      <c r="AU242" s="198"/>
      <c r="AV242" s="218"/>
      <c r="AW242" s="198"/>
      <c r="AX242" s="218"/>
      <c r="AY242" s="187"/>
      <c r="AZ242" s="187"/>
      <c r="BA242" s="216"/>
      <c r="BB242" s="225"/>
      <c r="BC242" s="198"/>
      <c r="BD242" s="198"/>
      <c r="BE242" s="187"/>
      <c r="BF242" s="198"/>
      <c r="BG242" s="187"/>
      <c r="BH242" s="187"/>
      <c r="BY242" s="187"/>
      <c r="BZ242" s="187"/>
    </row>
    <row r="243" spans="1:78" ht="15">
      <c r="A243" s="190"/>
      <c r="B243" s="211"/>
      <c r="C243" s="211"/>
      <c r="D243" s="180"/>
      <c r="E243" s="211"/>
      <c r="F243" s="180"/>
      <c r="G243" s="133"/>
      <c r="H243" s="133"/>
      <c r="I243" s="133"/>
      <c r="AP243" s="187"/>
      <c r="AQ243" s="187"/>
      <c r="AR243" s="216"/>
      <c r="AS243" s="225"/>
      <c r="AT243" s="198"/>
      <c r="AU243" s="198"/>
      <c r="AV243" s="218"/>
      <c r="AW243" s="198"/>
      <c r="AX243" s="218"/>
      <c r="AY243" s="187"/>
      <c r="AZ243" s="187"/>
      <c r="BA243" s="216"/>
      <c r="BB243" s="225"/>
      <c r="BC243" s="198"/>
      <c r="BD243" s="198"/>
      <c r="BE243" s="187"/>
      <c r="BF243" s="198"/>
      <c r="BG243" s="187"/>
      <c r="BH243" s="187"/>
      <c r="BY243" s="187"/>
      <c r="BZ243" s="187"/>
    </row>
    <row r="244" spans="1:78" ht="15">
      <c r="A244" s="190"/>
      <c r="B244" s="211"/>
      <c r="C244" s="211"/>
      <c r="D244" s="180"/>
      <c r="E244" s="211"/>
      <c r="F244" s="180"/>
      <c r="G244" s="133"/>
      <c r="H244" s="133"/>
      <c r="I244" s="133"/>
      <c r="AP244" s="187"/>
      <c r="AQ244" s="187"/>
      <c r="AR244" s="216"/>
      <c r="AS244" s="225"/>
      <c r="AT244" s="198"/>
      <c r="AU244" s="198"/>
      <c r="AV244" s="218"/>
      <c r="AW244" s="198"/>
      <c r="AX244" s="218"/>
      <c r="AY244" s="187"/>
      <c r="AZ244" s="187"/>
      <c r="BA244" s="216"/>
      <c r="BB244" s="225"/>
      <c r="BC244" s="198"/>
      <c r="BD244" s="198"/>
      <c r="BE244" s="187"/>
      <c r="BF244" s="198"/>
      <c r="BG244" s="187"/>
      <c r="BH244" s="187"/>
      <c r="BY244" s="187"/>
      <c r="BZ244" s="187"/>
    </row>
    <row r="245" spans="1:78" ht="15">
      <c r="A245" s="190"/>
      <c r="B245" s="211"/>
      <c r="C245" s="211"/>
      <c r="D245" s="180"/>
      <c r="E245" s="211"/>
      <c r="F245" s="180"/>
      <c r="G245" s="133"/>
      <c r="H245" s="133"/>
      <c r="I245" s="133"/>
      <c r="AP245" s="187"/>
      <c r="AQ245" s="187"/>
      <c r="AR245" s="216"/>
      <c r="AS245" s="225"/>
      <c r="AT245" s="198"/>
      <c r="AU245" s="198"/>
      <c r="AV245" s="218"/>
      <c r="AW245" s="198"/>
      <c r="AX245" s="218"/>
      <c r="AY245" s="187"/>
      <c r="AZ245" s="187"/>
      <c r="BA245" s="216"/>
      <c r="BB245" s="225"/>
      <c r="BC245" s="198"/>
      <c r="BD245" s="198"/>
      <c r="BE245" s="187"/>
      <c r="BF245" s="198"/>
      <c r="BG245" s="187"/>
      <c r="BH245" s="187"/>
      <c r="BY245" s="187"/>
      <c r="BZ245" s="187"/>
    </row>
    <row r="246" spans="1:78" ht="15">
      <c r="A246" s="190"/>
      <c r="B246" s="211"/>
      <c r="C246" s="211"/>
      <c r="D246" s="180"/>
      <c r="E246" s="211"/>
      <c r="F246" s="180"/>
      <c r="G246" s="133"/>
      <c r="H246" s="133"/>
      <c r="I246" s="133"/>
      <c r="AP246" s="187"/>
      <c r="AQ246" s="187"/>
      <c r="AR246" s="216"/>
      <c r="AS246" s="225"/>
      <c r="AT246" s="198"/>
      <c r="AU246" s="198"/>
      <c r="AV246" s="187"/>
      <c r="AW246" s="198"/>
      <c r="AX246" s="187"/>
      <c r="AY246" s="187"/>
      <c r="AZ246" s="187"/>
      <c r="BA246" s="216"/>
      <c r="BB246" s="225"/>
      <c r="BC246" s="198"/>
      <c r="BD246" s="198"/>
      <c r="BE246" s="187"/>
      <c r="BF246" s="198"/>
      <c r="BG246" s="187"/>
      <c r="BH246" s="187"/>
      <c r="BY246" s="187"/>
      <c r="BZ246" s="187"/>
    </row>
    <row r="247" spans="1:78" ht="15">
      <c r="A247" s="190"/>
      <c r="B247" s="211"/>
      <c r="C247" s="211"/>
      <c r="D247" s="180"/>
      <c r="E247" s="211"/>
      <c r="F247" s="180"/>
      <c r="G247" s="133"/>
      <c r="H247" s="133"/>
      <c r="I247" s="133"/>
      <c r="AP247" s="187"/>
      <c r="AQ247" s="187"/>
      <c r="AR247" s="216"/>
      <c r="AS247" s="225"/>
      <c r="AT247" s="198"/>
      <c r="AU247" s="198"/>
      <c r="AV247" s="187"/>
      <c r="AW247" s="198"/>
      <c r="AX247" s="187"/>
      <c r="AY247" s="187"/>
      <c r="AZ247" s="187"/>
      <c r="BA247" s="216"/>
      <c r="BB247" s="225"/>
      <c r="BC247" s="198"/>
      <c r="BD247" s="198"/>
      <c r="BE247" s="187"/>
      <c r="BF247" s="198"/>
      <c r="BG247" s="187"/>
      <c r="BH247" s="187"/>
      <c r="BY247" s="187"/>
      <c r="BZ247" s="187"/>
    </row>
    <row r="248" spans="1:78" ht="15">
      <c r="A248" s="190"/>
      <c r="B248" s="211"/>
      <c r="C248" s="211"/>
      <c r="D248" s="180"/>
      <c r="E248" s="211"/>
      <c r="F248" s="180"/>
      <c r="G248" s="133"/>
      <c r="H248" s="133"/>
      <c r="I248" s="133"/>
      <c r="AP248" s="226"/>
      <c r="AQ248" s="187"/>
      <c r="AR248" s="216"/>
      <c r="AS248" s="225"/>
      <c r="AT248" s="198"/>
      <c r="AU248" s="198"/>
      <c r="AV248" s="187"/>
      <c r="AW248" s="198"/>
      <c r="AX248" s="187"/>
      <c r="AY248" s="187"/>
      <c r="AZ248" s="187"/>
      <c r="BA248" s="216"/>
      <c r="BB248" s="225"/>
      <c r="BC248" s="198"/>
      <c r="BD248" s="198"/>
      <c r="BE248" s="187"/>
      <c r="BF248" s="198"/>
      <c r="BG248" s="187"/>
      <c r="BH248" s="187"/>
      <c r="BY248" s="187"/>
      <c r="BZ248" s="187"/>
    </row>
    <row r="249" spans="1:78" ht="15">
      <c r="A249" s="190"/>
      <c r="B249" s="190"/>
      <c r="C249" s="211"/>
      <c r="D249" s="180"/>
      <c r="E249" s="180"/>
      <c r="F249" s="180"/>
      <c r="G249" s="133"/>
      <c r="H249" s="133"/>
      <c r="I249" s="133"/>
      <c r="AP249" s="225"/>
      <c r="AQ249" s="187"/>
      <c r="AR249" s="224"/>
      <c r="AS249" s="187"/>
      <c r="AT249" s="187"/>
      <c r="AU249" s="187"/>
      <c r="AV249" s="187"/>
      <c r="AW249" s="187"/>
      <c r="AX249" s="187"/>
      <c r="AY249" s="187"/>
      <c r="AZ249" s="187"/>
      <c r="BA249" s="224"/>
      <c r="BB249" s="187"/>
      <c r="BC249" s="187"/>
      <c r="BD249" s="187"/>
      <c r="BE249" s="187"/>
      <c r="BF249" s="187"/>
      <c r="BG249" s="187"/>
      <c r="BH249" s="187"/>
      <c r="BY249" s="187"/>
      <c r="BZ249" s="187"/>
    </row>
    <row r="250" spans="1:78" ht="15">
      <c r="A250" s="135"/>
      <c r="B250" s="135"/>
      <c r="C250" s="133"/>
      <c r="D250" s="133"/>
      <c r="E250" s="133"/>
      <c r="F250" s="133"/>
      <c r="G250" s="133"/>
      <c r="H250" s="133"/>
      <c r="I250" s="133"/>
      <c r="AP250" s="225"/>
      <c r="AQ250" s="187"/>
      <c r="AR250" s="216"/>
      <c r="AS250" s="227"/>
      <c r="AT250" s="187"/>
      <c r="AU250" s="187"/>
      <c r="AV250" s="187"/>
      <c r="AW250" s="187"/>
      <c r="AX250" s="187"/>
      <c r="AY250" s="187"/>
      <c r="AZ250" s="187"/>
      <c r="BA250" s="216"/>
      <c r="BB250" s="227"/>
      <c r="BC250" s="187"/>
      <c r="BD250" s="187"/>
      <c r="BE250" s="187"/>
      <c r="BF250" s="187"/>
      <c r="BG250" s="187"/>
      <c r="BH250" s="187"/>
      <c r="BY250" s="187"/>
      <c r="BZ250" s="187"/>
    </row>
    <row r="251" spans="1:78" ht="15">
      <c r="A251" s="135"/>
      <c r="B251" s="135"/>
      <c r="C251" s="133"/>
      <c r="D251" s="133"/>
      <c r="E251" s="133"/>
      <c r="F251" s="133"/>
      <c r="G251" s="133"/>
      <c r="H251" s="133"/>
      <c r="I251" s="133"/>
      <c r="AP251" s="225"/>
      <c r="AQ251" s="187"/>
      <c r="AR251" s="187"/>
      <c r="AS251" s="187"/>
      <c r="AT251" s="187"/>
      <c r="AU251" s="187"/>
      <c r="AV251" s="187"/>
      <c r="AW251" s="187"/>
      <c r="AX251" s="187"/>
      <c r="AY251" s="187"/>
      <c r="AZ251" s="187"/>
      <c r="BA251" s="187"/>
      <c r="BB251" s="187"/>
      <c r="BC251" s="187"/>
      <c r="BD251" s="187"/>
      <c r="BE251" s="187"/>
      <c r="BF251" s="187"/>
      <c r="BG251" s="187"/>
      <c r="BH251" s="187"/>
      <c r="BY251" s="187"/>
      <c r="BZ251" s="187"/>
    </row>
    <row r="252" spans="1:78" ht="15">
      <c r="A252" s="135"/>
      <c r="B252" s="135"/>
      <c r="C252" s="133"/>
      <c r="D252" s="133"/>
      <c r="E252" s="133"/>
      <c r="F252" s="133"/>
      <c r="G252" s="133"/>
      <c r="H252" s="133"/>
      <c r="I252" s="133"/>
      <c r="AP252" s="225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  <c r="BB252" s="187"/>
      <c r="BC252" s="187"/>
      <c r="BD252" s="187"/>
      <c r="BE252" s="187"/>
      <c r="BF252" s="187"/>
      <c r="BG252" s="187"/>
      <c r="BH252" s="187"/>
      <c r="BY252" s="187"/>
      <c r="BZ252" s="187"/>
    </row>
    <row r="253" spans="1:78" ht="15">
      <c r="A253" s="135"/>
      <c r="B253" s="135"/>
      <c r="C253" s="133"/>
      <c r="D253" s="133"/>
      <c r="E253" s="133"/>
      <c r="F253" s="133"/>
      <c r="G253" s="133"/>
      <c r="H253" s="133"/>
      <c r="I253" s="133"/>
      <c r="AP253" s="187"/>
      <c r="AQ253" s="187"/>
      <c r="AR253" s="187"/>
      <c r="AS253" s="187"/>
      <c r="AT253" s="187"/>
      <c r="AU253" s="187"/>
      <c r="AV253" s="187"/>
      <c r="AW253" s="187"/>
      <c r="AX253" s="187"/>
      <c r="AY253" s="187"/>
      <c r="AZ253" s="187"/>
      <c r="BA253" s="187"/>
      <c r="BB253" s="187"/>
      <c r="BC253" s="187"/>
      <c r="BD253" s="187"/>
      <c r="BE253" s="187"/>
      <c r="BF253" s="187"/>
      <c r="BG253" s="187"/>
      <c r="BH253" s="187"/>
      <c r="BY253" s="187"/>
      <c r="BZ253" s="187"/>
    </row>
    <row r="254" spans="1:78" ht="15">
      <c r="A254" s="135"/>
      <c r="B254" s="135"/>
      <c r="C254" s="133"/>
      <c r="D254" s="133"/>
      <c r="E254" s="133"/>
      <c r="F254" s="133"/>
      <c r="G254" s="133"/>
      <c r="H254" s="133"/>
      <c r="I254" s="133"/>
      <c r="AX254" s="187"/>
      <c r="AY254" s="187"/>
      <c r="AZ254" s="187"/>
      <c r="BA254" s="187"/>
      <c r="BB254" s="187"/>
      <c r="BC254" s="198"/>
      <c r="BD254" s="198"/>
      <c r="BE254" s="187"/>
      <c r="BY254" s="187"/>
      <c r="BZ254" s="187"/>
    </row>
    <row r="255" spans="1:78" ht="15">
      <c r="A255" s="135"/>
      <c r="B255" s="135"/>
      <c r="C255" s="133"/>
      <c r="D255" s="133"/>
      <c r="E255" s="133"/>
      <c r="F255" s="133"/>
      <c r="G255" s="133"/>
      <c r="H255" s="133"/>
      <c r="I255" s="133"/>
      <c r="AX255" s="187"/>
      <c r="AY255" s="187"/>
      <c r="AZ255" s="187"/>
      <c r="BA255" s="187"/>
      <c r="BB255" s="187"/>
      <c r="BC255" s="198"/>
      <c r="BD255" s="198"/>
      <c r="BE255" s="187"/>
      <c r="BY255" s="187"/>
      <c r="BZ255" s="187"/>
    </row>
    <row r="256" spans="1:78" ht="15">
      <c r="A256" s="135"/>
      <c r="B256" s="135"/>
      <c r="C256" s="133"/>
      <c r="D256" s="133"/>
      <c r="E256" s="133"/>
      <c r="F256" s="133"/>
      <c r="G256" s="133"/>
      <c r="H256" s="133"/>
      <c r="I256" s="133"/>
      <c r="AX256" s="187"/>
      <c r="AY256" s="187"/>
      <c r="AZ256" s="187"/>
      <c r="BA256" s="187"/>
      <c r="BB256" s="187"/>
      <c r="BC256" s="198"/>
      <c r="BD256" s="198"/>
      <c r="BE256" s="187"/>
      <c r="BY256" s="187"/>
      <c r="BZ256" s="187"/>
    </row>
    <row r="257" spans="1:78" ht="15">
      <c r="A257" s="135"/>
      <c r="B257" s="135"/>
      <c r="C257" s="133"/>
      <c r="D257" s="133"/>
      <c r="E257" s="133"/>
      <c r="F257" s="133"/>
      <c r="G257" s="133"/>
      <c r="H257" s="133"/>
      <c r="I257" s="133"/>
      <c r="AX257" s="187"/>
      <c r="AY257" s="187"/>
      <c r="AZ257" s="187"/>
      <c r="BA257" s="187"/>
      <c r="BB257" s="187"/>
      <c r="BC257" s="198"/>
      <c r="BD257" s="198"/>
      <c r="BE257" s="187"/>
      <c r="BY257" s="187"/>
      <c r="BZ257" s="187"/>
    </row>
    <row r="258" spans="1:78" ht="15">
      <c r="A258" s="135"/>
      <c r="B258" s="135"/>
      <c r="C258" s="133"/>
      <c r="D258" s="133"/>
      <c r="E258" s="133"/>
      <c r="F258" s="133"/>
      <c r="G258" s="133"/>
      <c r="H258" s="133"/>
      <c r="I258" s="133"/>
      <c r="AX258" s="187"/>
      <c r="AY258" s="187"/>
      <c r="AZ258" s="187"/>
      <c r="BA258" s="187"/>
      <c r="BB258" s="187"/>
      <c r="BC258" s="198"/>
      <c r="BD258" s="198"/>
      <c r="BE258" s="187"/>
      <c r="BY258" s="187"/>
      <c r="BZ258" s="187"/>
    </row>
    <row r="259" spans="1:78" ht="12.75">
      <c r="A259" s="170"/>
      <c r="B259" s="170"/>
      <c r="C259" s="170"/>
      <c r="D259" s="170"/>
      <c r="E259" s="170"/>
      <c r="F259" s="170"/>
      <c r="G259" s="170"/>
      <c r="H259" s="170"/>
      <c r="I259" s="170"/>
      <c r="AX259" s="187"/>
      <c r="AY259" s="187"/>
      <c r="AZ259" s="187"/>
      <c r="BA259" s="187"/>
      <c r="BB259" s="187"/>
      <c r="BC259" s="198"/>
      <c r="BD259" s="198"/>
      <c r="BE259" s="187"/>
      <c r="BY259" s="187"/>
      <c r="BZ259" s="187"/>
    </row>
    <row r="260" spans="1:78" ht="12.75">
      <c r="A260" s="170"/>
      <c r="B260" s="170"/>
      <c r="C260" s="170"/>
      <c r="D260" s="170"/>
      <c r="E260" s="170"/>
      <c r="F260" s="170"/>
      <c r="G260" s="170"/>
      <c r="H260" s="170"/>
      <c r="I260" s="170"/>
      <c r="AX260" s="187"/>
      <c r="AY260" s="187"/>
      <c r="AZ260" s="187"/>
      <c r="BA260" s="187"/>
      <c r="BB260" s="187"/>
      <c r="BC260" s="198"/>
      <c r="BD260" s="198"/>
      <c r="BE260" s="187"/>
      <c r="BY260" s="187"/>
      <c r="BZ260" s="187"/>
    </row>
    <row r="261" spans="1:78" ht="12.75">
      <c r="A261" s="170"/>
      <c r="B261" s="170"/>
      <c r="C261" s="170"/>
      <c r="D261" s="170"/>
      <c r="E261" s="170"/>
      <c r="F261" s="170"/>
      <c r="G261" s="170"/>
      <c r="H261" s="170"/>
      <c r="I261" s="170"/>
      <c r="AX261" s="187"/>
      <c r="AY261" s="187"/>
      <c r="AZ261" s="187"/>
      <c r="BA261" s="187"/>
      <c r="BB261" s="187"/>
      <c r="BC261" s="198"/>
      <c r="BD261" s="198"/>
      <c r="BE261" s="187"/>
      <c r="BY261" s="187"/>
      <c r="BZ261" s="187"/>
    </row>
    <row r="262" spans="1:78" ht="12.75">
      <c r="A262" s="170"/>
      <c r="B262" s="170"/>
      <c r="C262" s="170"/>
      <c r="D262" s="170"/>
      <c r="E262" s="170"/>
      <c r="F262" s="170"/>
      <c r="G262" s="170"/>
      <c r="H262" s="170"/>
      <c r="I262" s="170"/>
      <c r="AX262" s="187"/>
      <c r="AY262" s="187"/>
      <c r="AZ262" s="187"/>
      <c r="BA262" s="187"/>
      <c r="BB262" s="187"/>
      <c r="BC262" s="198"/>
      <c r="BD262" s="198"/>
      <c r="BE262" s="187"/>
      <c r="BY262" s="187"/>
      <c r="BZ262" s="187"/>
    </row>
    <row r="263" spans="1:78" ht="12.75">
      <c r="A263" s="170"/>
      <c r="B263" s="170"/>
      <c r="C263" s="170"/>
      <c r="D263" s="170"/>
      <c r="E263" s="170"/>
      <c r="F263" s="170"/>
      <c r="G263" s="170"/>
      <c r="H263" s="170"/>
      <c r="I263" s="170"/>
      <c r="AX263" s="187"/>
      <c r="AY263" s="187"/>
      <c r="AZ263" s="187"/>
      <c r="BA263" s="187"/>
      <c r="BB263" s="187"/>
      <c r="BC263" s="198"/>
      <c r="BD263" s="198"/>
      <c r="BE263" s="187"/>
      <c r="BY263" s="187"/>
      <c r="BZ263" s="187"/>
    </row>
    <row r="264" spans="1:78" ht="12.75">
      <c r="A264" s="170"/>
      <c r="B264" s="170"/>
      <c r="C264" s="170"/>
      <c r="D264" s="170"/>
      <c r="E264" s="170"/>
      <c r="F264" s="170"/>
      <c r="G264" s="170"/>
      <c r="H264" s="170"/>
      <c r="I264" s="170"/>
      <c r="AX264" s="187"/>
      <c r="AY264" s="187"/>
      <c r="AZ264" s="187"/>
      <c r="BA264" s="187"/>
      <c r="BB264" s="187"/>
      <c r="BC264" s="187"/>
      <c r="BD264" s="187"/>
      <c r="BE264" s="187"/>
      <c r="BY264" s="187"/>
      <c r="BZ264" s="187"/>
    </row>
    <row r="265" spans="1:78" ht="12.75">
      <c r="A265" s="170"/>
      <c r="B265" s="170"/>
      <c r="C265" s="170"/>
      <c r="D265" s="170"/>
      <c r="E265" s="170"/>
      <c r="F265" s="170"/>
      <c r="G265" s="170"/>
      <c r="H265" s="170"/>
      <c r="I265" s="170"/>
      <c r="AX265" s="187"/>
      <c r="AY265" s="187"/>
      <c r="AZ265" s="187"/>
      <c r="BA265" s="187"/>
      <c r="BB265" s="187"/>
      <c r="BC265" s="187"/>
      <c r="BD265" s="187"/>
      <c r="BE265" s="187"/>
      <c r="BY265" s="187"/>
      <c r="BZ265" s="187"/>
    </row>
    <row r="266" spans="1:78" ht="15">
      <c r="A266" s="170"/>
      <c r="B266" s="170"/>
      <c r="C266" s="170"/>
      <c r="D266" s="170"/>
      <c r="E266" s="170"/>
      <c r="F266" s="170"/>
      <c r="G266" s="170"/>
      <c r="H266" s="170"/>
      <c r="I266" s="170"/>
      <c r="AX266" s="187"/>
      <c r="AY266" s="187"/>
      <c r="AZ266" s="187"/>
      <c r="BA266" s="187"/>
      <c r="BB266" s="187"/>
      <c r="BC266" s="228"/>
      <c r="BD266" s="228"/>
      <c r="BE266" s="187"/>
      <c r="BY266" s="187"/>
      <c r="BZ266" s="187"/>
    </row>
    <row r="267" spans="1:78" ht="12.75">
      <c r="A267" s="170"/>
      <c r="B267" s="170"/>
      <c r="C267" s="170"/>
      <c r="D267" s="170"/>
      <c r="E267" s="170"/>
      <c r="F267" s="170"/>
      <c r="G267" s="170"/>
      <c r="H267" s="170"/>
      <c r="I267" s="170"/>
      <c r="AX267" s="187"/>
      <c r="AY267" s="187"/>
      <c r="AZ267" s="187"/>
      <c r="BA267" s="187"/>
      <c r="BB267" s="187"/>
      <c r="BC267" s="187"/>
      <c r="BD267" s="187"/>
      <c r="BE267" s="187"/>
      <c r="BY267" s="187"/>
      <c r="BZ267" s="187"/>
    </row>
    <row r="268" spans="1:78" ht="12.75">
      <c r="A268" s="170"/>
      <c r="B268" s="170"/>
      <c r="C268" s="170"/>
      <c r="D268" s="170"/>
      <c r="E268" s="170"/>
      <c r="F268" s="170"/>
      <c r="G268" s="170"/>
      <c r="H268" s="170"/>
      <c r="I268" s="170"/>
      <c r="AX268" s="187"/>
      <c r="AY268" s="187"/>
      <c r="AZ268" s="187"/>
      <c r="BA268" s="187"/>
      <c r="BB268" s="187"/>
      <c r="BC268" s="187"/>
      <c r="BD268" s="187"/>
      <c r="BE268" s="187"/>
      <c r="BY268" s="187"/>
      <c r="BZ268" s="187"/>
    </row>
    <row r="269" spans="1:78" ht="12.75">
      <c r="A269" s="170"/>
      <c r="B269" s="170"/>
      <c r="C269" s="170"/>
      <c r="D269" s="170"/>
      <c r="E269" s="170"/>
      <c r="F269" s="170"/>
      <c r="G269" s="170"/>
      <c r="H269" s="170"/>
      <c r="I269" s="170"/>
      <c r="AX269" s="187"/>
      <c r="AY269" s="187"/>
      <c r="AZ269" s="187"/>
      <c r="BA269" s="187"/>
      <c r="BB269" s="187"/>
      <c r="BC269" s="187"/>
      <c r="BD269" s="187"/>
      <c r="BE269" s="187"/>
      <c r="BY269" s="187"/>
      <c r="BZ269" s="187"/>
    </row>
    <row r="270" spans="1:78" ht="12.75">
      <c r="A270" s="170"/>
      <c r="B270" s="170"/>
      <c r="C270" s="170"/>
      <c r="D270" s="170"/>
      <c r="E270" s="170"/>
      <c r="F270" s="170"/>
      <c r="G270" s="170"/>
      <c r="H270" s="170"/>
      <c r="I270" s="170"/>
      <c r="AX270" s="187"/>
      <c r="AY270" s="187"/>
      <c r="AZ270" s="187"/>
      <c r="BA270" s="187"/>
      <c r="BB270" s="187"/>
      <c r="BC270" s="187"/>
      <c r="BD270" s="187"/>
      <c r="BE270" s="187"/>
      <c r="BY270" s="187"/>
      <c r="BZ270" s="187"/>
    </row>
    <row r="271" spans="1:78" ht="12.75">
      <c r="A271" s="170"/>
      <c r="B271" s="170"/>
      <c r="C271" s="170"/>
      <c r="D271" s="170"/>
      <c r="E271" s="170"/>
      <c r="F271" s="170"/>
      <c r="G271" s="170"/>
      <c r="H271" s="170"/>
      <c r="I271" s="170"/>
      <c r="AX271" s="187"/>
      <c r="AY271" s="187"/>
      <c r="AZ271" s="187"/>
      <c r="BA271" s="187"/>
      <c r="BB271" s="187"/>
      <c r="BC271" s="187"/>
      <c r="BD271" s="187"/>
      <c r="BE271" s="187"/>
      <c r="BY271" s="187"/>
      <c r="BZ271" s="187"/>
    </row>
    <row r="272" spans="1:78" ht="12.75">
      <c r="A272" s="170"/>
      <c r="B272" s="170"/>
      <c r="C272" s="170"/>
      <c r="D272" s="170"/>
      <c r="E272" s="170"/>
      <c r="F272" s="170"/>
      <c r="G272" s="170"/>
      <c r="H272" s="170"/>
      <c r="I272" s="170"/>
      <c r="AX272" s="187"/>
      <c r="AY272" s="187"/>
      <c r="AZ272" s="187"/>
      <c r="BA272" s="187"/>
      <c r="BB272" s="187"/>
      <c r="BC272" s="187"/>
      <c r="BD272" s="187"/>
      <c r="BE272" s="187"/>
      <c r="BY272" s="187"/>
      <c r="BZ272" s="187"/>
    </row>
    <row r="273" spans="1:78" ht="12.75">
      <c r="A273" s="170"/>
      <c r="B273" s="170"/>
      <c r="C273" s="170"/>
      <c r="D273" s="170"/>
      <c r="E273" s="170"/>
      <c r="F273" s="170"/>
      <c r="G273" s="170"/>
      <c r="H273" s="170"/>
      <c r="I273" s="170"/>
      <c r="AX273" s="187"/>
      <c r="AY273" s="187"/>
      <c r="AZ273" s="187"/>
      <c r="BA273" s="187"/>
      <c r="BB273" s="187"/>
      <c r="BC273" s="187"/>
      <c r="BD273" s="187"/>
      <c r="BE273" s="187"/>
      <c r="BY273" s="187"/>
      <c r="BZ273" s="187"/>
    </row>
    <row r="274" spans="1:78" ht="12.75">
      <c r="A274" s="170"/>
      <c r="B274" s="170"/>
      <c r="C274" s="170"/>
      <c r="D274" s="170"/>
      <c r="E274" s="170"/>
      <c r="F274" s="170"/>
      <c r="G274" s="170"/>
      <c r="H274" s="170"/>
      <c r="I274" s="170"/>
      <c r="AX274" s="187"/>
      <c r="AY274" s="187"/>
      <c r="AZ274" s="187"/>
      <c r="BA274" s="187"/>
      <c r="BB274" s="187"/>
      <c r="BC274" s="187"/>
      <c r="BD274" s="187"/>
      <c r="BE274" s="187"/>
      <c r="BY274" s="187"/>
      <c r="BZ274" s="187"/>
    </row>
    <row r="275" spans="1:78" ht="12.75">
      <c r="A275" s="170"/>
      <c r="B275" s="170"/>
      <c r="C275" s="170"/>
      <c r="D275" s="170"/>
      <c r="E275" s="170"/>
      <c r="F275" s="170"/>
      <c r="G275" s="170"/>
      <c r="H275" s="170"/>
      <c r="I275" s="170"/>
      <c r="AX275" s="187"/>
      <c r="AY275" s="187"/>
      <c r="AZ275" s="187"/>
      <c r="BA275" s="187"/>
      <c r="BB275" s="187"/>
      <c r="BC275" s="187"/>
      <c r="BD275" s="187"/>
      <c r="BE275" s="187"/>
      <c r="BY275" s="187"/>
      <c r="BZ275" s="187"/>
    </row>
    <row r="276" spans="1:78" ht="12.75">
      <c r="A276" s="170"/>
      <c r="B276" s="170"/>
      <c r="C276" s="170"/>
      <c r="D276" s="170"/>
      <c r="E276" s="170"/>
      <c r="F276" s="170"/>
      <c r="G276" s="170"/>
      <c r="H276" s="170"/>
      <c r="I276" s="170"/>
      <c r="AX276" s="187"/>
      <c r="AY276" s="187"/>
      <c r="AZ276" s="187"/>
      <c r="BA276" s="187"/>
      <c r="BB276" s="187"/>
      <c r="BC276" s="187"/>
      <c r="BD276" s="187"/>
      <c r="BE276" s="187"/>
      <c r="BY276" s="187"/>
      <c r="BZ276" s="187"/>
    </row>
    <row r="277" spans="50:78" ht="12.75">
      <c r="AX277" s="187"/>
      <c r="AY277" s="187"/>
      <c r="AZ277" s="187"/>
      <c r="BA277" s="187"/>
      <c r="BB277" s="187"/>
      <c r="BC277" s="187"/>
      <c r="BD277" s="187"/>
      <c r="BE277" s="187"/>
      <c r="BY277" s="187"/>
      <c r="BZ277" s="187"/>
    </row>
    <row r="278" spans="50:78" ht="12.75">
      <c r="AX278" s="187"/>
      <c r="AY278" s="187"/>
      <c r="AZ278" s="187"/>
      <c r="BA278" s="187"/>
      <c r="BB278" s="187"/>
      <c r="BC278" s="187"/>
      <c r="BD278" s="187"/>
      <c r="BE278" s="187"/>
      <c r="BY278" s="187"/>
      <c r="BZ278" s="187"/>
    </row>
    <row r="279" spans="50:78" ht="12.75">
      <c r="AX279" s="187"/>
      <c r="AY279" s="187"/>
      <c r="AZ279" s="187"/>
      <c r="BA279" s="187"/>
      <c r="BB279" s="187"/>
      <c r="BC279" s="187"/>
      <c r="BD279" s="187"/>
      <c r="BE279" s="187"/>
      <c r="BY279" s="187"/>
      <c r="BZ279" s="187"/>
    </row>
    <row r="280" spans="50:78" ht="12.75">
      <c r="AX280" s="187"/>
      <c r="AY280" s="187"/>
      <c r="AZ280" s="187"/>
      <c r="BA280" s="187"/>
      <c r="BB280" s="187"/>
      <c r="BC280" s="187"/>
      <c r="BD280" s="187"/>
      <c r="BE280" s="187"/>
      <c r="BY280" s="187"/>
      <c r="BZ280" s="187"/>
    </row>
    <row r="281" spans="50:78" ht="15">
      <c r="AX281" s="187"/>
      <c r="AY281" s="187"/>
      <c r="AZ281" s="187"/>
      <c r="BA281" s="187"/>
      <c r="BB281" s="187"/>
      <c r="BC281" s="180"/>
      <c r="BD281" s="180"/>
      <c r="BE281" s="180"/>
      <c r="BY281" s="187"/>
      <c r="BZ281" s="187"/>
    </row>
    <row r="282" spans="50:78" ht="15">
      <c r="AX282" s="187"/>
      <c r="AY282" s="187"/>
      <c r="AZ282" s="187"/>
      <c r="BA282" s="187"/>
      <c r="BB282" s="187"/>
      <c r="BC282" s="180"/>
      <c r="BD282" s="180"/>
      <c r="BE282" s="180"/>
      <c r="BY282" s="187"/>
      <c r="BZ282" s="187"/>
    </row>
    <row r="283" spans="50:78" ht="15">
      <c r="AX283" s="187"/>
      <c r="AY283" s="187"/>
      <c r="AZ283" s="187"/>
      <c r="BA283" s="187"/>
      <c r="BB283" s="187"/>
      <c r="BC283" s="180"/>
      <c r="BD283" s="180"/>
      <c r="BE283" s="130"/>
      <c r="BY283" s="187"/>
      <c r="BZ283" s="187"/>
    </row>
    <row r="284" spans="50:78" ht="15">
      <c r="AX284" s="187"/>
      <c r="AY284" s="187"/>
      <c r="AZ284" s="187"/>
      <c r="BA284" s="187"/>
      <c r="BB284" s="187"/>
      <c r="BC284" s="180"/>
      <c r="BD284" s="180"/>
      <c r="BE284" s="130"/>
      <c r="BY284" s="187"/>
      <c r="BZ284" s="187"/>
    </row>
    <row r="285" spans="50:78" ht="15">
      <c r="AX285" s="187"/>
      <c r="AY285" s="187"/>
      <c r="AZ285" s="187"/>
      <c r="BA285" s="187"/>
      <c r="BB285" s="187"/>
      <c r="BC285" s="180"/>
      <c r="BD285" s="180"/>
      <c r="BE285" s="130"/>
      <c r="BY285" s="187"/>
      <c r="BZ285" s="187"/>
    </row>
    <row r="286" spans="50:78" ht="15">
      <c r="AX286" s="187"/>
      <c r="AY286" s="187"/>
      <c r="AZ286" s="187"/>
      <c r="BA286" s="187"/>
      <c r="BB286" s="187"/>
      <c r="BC286" s="180"/>
      <c r="BD286" s="180"/>
      <c r="BE286" s="130"/>
      <c r="BY286" s="187"/>
      <c r="BZ286" s="187"/>
    </row>
    <row r="287" spans="50:78" ht="15">
      <c r="AX287" s="187"/>
      <c r="AY287" s="187"/>
      <c r="AZ287" s="187"/>
      <c r="BA287" s="187"/>
      <c r="BB287" s="187"/>
      <c r="BC287" s="180"/>
      <c r="BD287" s="180"/>
      <c r="BE287" s="180"/>
      <c r="BY287" s="187"/>
      <c r="BZ287" s="187"/>
    </row>
    <row r="288" spans="50:78" ht="15">
      <c r="AX288" s="187"/>
      <c r="AY288" s="187"/>
      <c r="AZ288" s="187"/>
      <c r="BA288" s="187"/>
      <c r="BB288" s="187"/>
      <c r="BC288" s="180"/>
      <c r="BD288" s="180"/>
      <c r="BE288" s="180"/>
      <c r="BF288" s="180"/>
      <c r="BG288" s="187"/>
      <c r="BH288" s="187"/>
      <c r="BI288" s="187"/>
      <c r="BJ288" s="187"/>
      <c r="BK288" s="187"/>
      <c r="BL288" s="187"/>
      <c r="BM288" s="187"/>
      <c r="BN288" s="187"/>
      <c r="BO288" s="187"/>
      <c r="BP288" s="187"/>
      <c r="BQ288" s="187"/>
      <c r="BR288" s="187"/>
      <c r="BS288" s="187"/>
      <c r="BT288" s="187"/>
      <c r="BU288" s="187"/>
      <c r="BV288" s="187"/>
      <c r="BW288" s="187"/>
      <c r="BX288" s="187"/>
      <c r="BY288" s="187"/>
      <c r="BZ288" s="187"/>
    </row>
    <row r="289" spans="50:78" ht="15">
      <c r="AX289" s="187"/>
      <c r="AY289" s="187"/>
      <c r="AZ289" s="187"/>
      <c r="BA289" s="187"/>
      <c r="BB289" s="187"/>
      <c r="BC289" s="180"/>
      <c r="BD289" s="180"/>
      <c r="BE289" s="180"/>
      <c r="BF289" s="229"/>
      <c r="BG289" s="187"/>
      <c r="BH289" s="187"/>
      <c r="BI289" s="187"/>
      <c r="BJ289" s="187"/>
      <c r="BK289" s="187"/>
      <c r="BL289" s="187"/>
      <c r="BM289" s="187"/>
      <c r="BN289" s="187"/>
      <c r="BO289" s="187"/>
      <c r="BP289" s="187"/>
      <c r="BQ289" s="187"/>
      <c r="BR289" s="187"/>
      <c r="BS289" s="187"/>
      <c r="BT289" s="187"/>
      <c r="BU289" s="187"/>
      <c r="BV289" s="187"/>
      <c r="BW289" s="187"/>
      <c r="BX289" s="187"/>
      <c r="BY289" s="187"/>
      <c r="BZ289" s="187"/>
    </row>
    <row r="290" spans="50:78" ht="15">
      <c r="AX290" s="187"/>
      <c r="AY290" s="187"/>
      <c r="AZ290" s="187"/>
      <c r="BA290" s="187"/>
      <c r="BB290" s="187"/>
      <c r="BC290" s="180"/>
      <c r="BD290" s="180"/>
      <c r="BE290" s="180"/>
      <c r="BF290" s="229"/>
      <c r="BG290" s="187"/>
      <c r="BH290" s="187"/>
      <c r="BI290" s="187"/>
      <c r="BJ290" s="187"/>
      <c r="BK290" s="187"/>
      <c r="BL290" s="187"/>
      <c r="BM290" s="187"/>
      <c r="BN290" s="187"/>
      <c r="BO290" s="187"/>
      <c r="BP290" s="187"/>
      <c r="BQ290" s="187"/>
      <c r="BR290" s="187"/>
      <c r="BS290" s="187"/>
      <c r="BT290" s="187"/>
      <c r="BU290" s="187"/>
      <c r="BV290" s="187"/>
      <c r="BW290" s="187"/>
      <c r="BX290" s="187"/>
      <c r="BY290" s="187"/>
      <c r="BZ290" s="187"/>
    </row>
    <row r="291" spans="50:78" ht="15">
      <c r="AX291" s="187"/>
      <c r="AY291" s="187"/>
      <c r="AZ291" s="187"/>
      <c r="BA291" s="187"/>
      <c r="BB291" s="187"/>
      <c r="BC291" s="180"/>
      <c r="BD291" s="180"/>
      <c r="BE291" s="180"/>
      <c r="BF291" s="229"/>
      <c r="BG291" s="187"/>
      <c r="BH291" s="187"/>
      <c r="BI291" s="187"/>
      <c r="BJ291" s="187"/>
      <c r="BK291" s="187"/>
      <c r="BL291" s="187"/>
      <c r="BM291" s="187"/>
      <c r="BN291" s="187"/>
      <c r="BO291" s="187"/>
      <c r="BP291" s="187"/>
      <c r="BQ291" s="187"/>
      <c r="BR291" s="187"/>
      <c r="BS291" s="187"/>
      <c r="BT291" s="187"/>
      <c r="BU291" s="187"/>
      <c r="BV291" s="187"/>
      <c r="BW291" s="187"/>
      <c r="BX291" s="187"/>
      <c r="BY291" s="187"/>
      <c r="BZ291" s="187"/>
    </row>
    <row r="292" spans="50:78" ht="18">
      <c r="AX292" s="187"/>
      <c r="AY292" s="187"/>
      <c r="AZ292" s="187"/>
      <c r="BA292" s="187"/>
      <c r="BB292" s="187"/>
      <c r="BC292" s="180"/>
      <c r="BD292" s="180"/>
      <c r="BE292" s="180"/>
      <c r="BF292" s="229"/>
      <c r="BG292" s="187"/>
      <c r="BH292" s="187"/>
      <c r="BI292" s="212"/>
      <c r="BJ292" s="187"/>
      <c r="BK292" s="187"/>
      <c r="BL292" s="187"/>
      <c r="BM292" s="187"/>
      <c r="BN292" s="187"/>
      <c r="BO292" s="187"/>
      <c r="BP292" s="187"/>
      <c r="BQ292" s="187"/>
      <c r="BR292" s="212"/>
      <c r="BS292" s="187"/>
      <c r="BT292" s="187"/>
      <c r="BU292" s="187"/>
      <c r="BV292" s="187"/>
      <c r="BW292" s="187"/>
      <c r="BX292" s="187"/>
      <c r="BY292" s="187"/>
      <c r="BZ292" s="187"/>
    </row>
    <row r="293" spans="50:78" ht="15">
      <c r="AX293" s="187"/>
      <c r="AY293" s="187"/>
      <c r="AZ293" s="187"/>
      <c r="BA293" s="187"/>
      <c r="BB293" s="187"/>
      <c r="BC293" s="180"/>
      <c r="BD293" s="180"/>
      <c r="BE293" s="180"/>
      <c r="BF293" s="229"/>
      <c r="BG293" s="187"/>
      <c r="BH293" s="187"/>
      <c r="BI293" s="213"/>
      <c r="BJ293" s="214"/>
      <c r="BK293" s="214"/>
      <c r="BL293" s="214"/>
      <c r="BM293" s="213"/>
      <c r="BN293" s="213"/>
      <c r="BO293" s="187"/>
      <c r="BP293" s="187"/>
      <c r="BQ293" s="187"/>
      <c r="BR293" s="213"/>
      <c r="BS293" s="214"/>
      <c r="BT293" s="214"/>
      <c r="BU293" s="214"/>
      <c r="BV293" s="214"/>
      <c r="BW293" s="214"/>
      <c r="BX293" s="187"/>
      <c r="BY293" s="187"/>
      <c r="BZ293" s="187"/>
    </row>
    <row r="294" spans="50:78" ht="15">
      <c r="AX294" s="187"/>
      <c r="AY294" s="187"/>
      <c r="AZ294" s="187"/>
      <c r="BA294" s="187"/>
      <c r="BB294" s="187"/>
      <c r="BC294" s="180"/>
      <c r="BD294" s="180"/>
      <c r="BE294" s="180"/>
      <c r="BF294" s="229"/>
      <c r="BG294" s="187"/>
      <c r="BH294" s="224"/>
      <c r="BI294" s="217"/>
      <c r="BJ294" s="216"/>
      <c r="BK294" s="216"/>
      <c r="BL294" s="216"/>
      <c r="BM294" s="216"/>
      <c r="BN294" s="216"/>
      <c r="BO294" s="187"/>
      <c r="BP294" s="187"/>
      <c r="BQ294" s="230"/>
      <c r="BR294" s="224"/>
      <c r="BS294" s="198"/>
      <c r="BT294" s="198"/>
      <c r="BU294" s="198"/>
      <c r="BV294" s="198"/>
      <c r="BW294" s="198"/>
      <c r="BX294" s="187"/>
      <c r="BY294" s="187"/>
      <c r="BZ294" s="187"/>
    </row>
    <row r="295" spans="50:78" ht="15">
      <c r="AX295" s="187"/>
      <c r="AY295" s="187"/>
      <c r="AZ295" s="187"/>
      <c r="BA295" s="187"/>
      <c r="BB295" s="187"/>
      <c r="BC295" s="180"/>
      <c r="BD295" s="180"/>
      <c r="BE295" s="180"/>
      <c r="BF295" s="229"/>
      <c r="BG295" s="187"/>
      <c r="BH295" s="224"/>
      <c r="BI295" s="217"/>
      <c r="BJ295" s="216"/>
      <c r="BK295" s="216"/>
      <c r="BL295" s="216"/>
      <c r="BM295" s="216"/>
      <c r="BN295" s="216"/>
      <c r="BO295" s="187"/>
      <c r="BP295" s="187"/>
      <c r="BQ295" s="230"/>
      <c r="BR295" s="224"/>
      <c r="BS295" s="198"/>
      <c r="BT295" s="198"/>
      <c r="BU295" s="198"/>
      <c r="BV295" s="198"/>
      <c r="BW295" s="198"/>
      <c r="BX295" s="187"/>
      <c r="BY295" s="187"/>
      <c r="BZ295" s="187"/>
    </row>
    <row r="296" spans="50:78" ht="15">
      <c r="AX296" s="187"/>
      <c r="AY296" s="187"/>
      <c r="AZ296" s="187"/>
      <c r="BA296" s="187"/>
      <c r="BB296" s="187"/>
      <c r="BC296" s="180"/>
      <c r="BD296" s="180"/>
      <c r="BE296" s="180"/>
      <c r="BF296" s="229"/>
      <c r="BG296" s="187"/>
      <c r="BH296" s="224"/>
      <c r="BI296" s="217"/>
      <c r="BJ296" s="216"/>
      <c r="BK296" s="216"/>
      <c r="BL296" s="216"/>
      <c r="BM296" s="216"/>
      <c r="BN296" s="216"/>
      <c r="BO296" s="187"/>
      <c r="BP296" s="187"/>
      <c r="BQ296" s="230"/>
      <c r="BR296" s="224"/>
      <c r="BS296" s="198"/>
      <c r="BT296" s="198"/>
      <c r="BU296" s="198"/>
      <c r="BV296" s="198"/>
      <c r="BW296" s="198"/>
      <c r="BX296" s="187"/>
      <c r="BY296" s="187"/>
      <c r="BZ296" s="187"/>
    </row>
    <row r="297" spans="50:78" ht="15">
      <c r="AX297" s="187"/>
      <c r="AY297" s="187"/>
      <c r="AZ297" s="187"/>
      <c r="BA297" s="187"/>
      <c r="BB297" s="187"/>
      <c r="BC297" s="180"/>
      <c r="BD297" s="180"/>
      <c r="BE297" s="180"/>
      <c r="BF297" s="229"/>
      <c r="BG297" s="187"/>
      <c r="BH297" s="224"/>
      <c r="BI297" s="217"/>
      <c r="BJ297" s="216"/>
      <c r="BK297" s="216"/>
      <c r="BL297" s="216"/>
      <c r="BM297" s="216"/>
      <c r="BN297" s="216"/>
      <c r="BO297" s="187"/>
      <c r="BP297" s="187"/>
      <c r="BQ297" s="230"/>
      <c r="BR297" s="224"/>
      <c r="BS297" s="198"/>
      <c r="BT297" s="198"/>
      <c r="BU297" s="198"/>
      <c r="BV297" s="198"/>
      <c r="BW297" s="198"/>
      <c r="BX297" s="187"/>
      <c r="BY297" s="187"/>
      <c r="BZ297" s="187"/>
    </row>
    <row r="298" spans="50:78" ht="15">
      <c r="AX298" s="187"/>
      <c r="AY298" s="187"/>
      <c r="AZ298" s="187"/>
      <c r="BA298" s="187"/>
      <c r="BB298" s="187"/>
      <c r="BC298" s="180"/>
      <c r="BD298" s="180"/>
      <c r="BE298" s="180"/>
      <c r="BF298" s="229"/>
      <c r="BG298" s="187"/>
      <c r="BH298" s="224"/>
      <c r="BI298" s="217"/>
      <c r="BJ298" s="216"/>
      <c r="BK298" s="216"/>
      <c r="BL298" s="216"/>
      <c r="BM298" s="216"/>
      <c r="BN298" s="216"/>
      <c r="BO298" s="187"/>
      <c r="BP298" s="187"/>
      <c r="BQ298" s="230"/>
      <c r="BR298" s="224"/>
      <c r="BS298" s="198"/>
      <c r="BT298" s="198"/>
      <c r="BU298" s="198"/>
      <c r="BV298" s="198"/>
      <c r="BW298" s="198"/>
      <c r="BX298" s="187"/>
      <c r="BY298" s="187"/>
      <c r="BZ298" s="187"/>
    </row>
    <row r="299" spans="50:78" ht="15">
      <c r="AX299" s="187"/>
      <c r="AY299" s="187"/>
      <c r="AZ299" s="187"/>
      <c r="BA299" s="187"/>
      <c r="BB299" s="187"/>
      <c r="BC299" s="180"/>
      <c r="BD299" s="180"/>
      <c r="BE299" s="180"/>
      <c r="BF299" s="229"/>
      <c r="BG299" s="187"/>
      <c r="BH299" s="224"/>
      <c r="BI299" s="217"/>
      <c r="BJ299" s="216"/>
      <c r="BK299" s="216"/>
      <c r="BL299" s="216"/>
      <c r="BM299" s="216"/>
      <c r="BN299" s="216"/>
      <c r="BO299" s="187"/>
      <c r="BP299" s="187"/>
      <c r="BQ299" s="230"/>
      <c r="BR299" s="224"/>
      <c r="BS299" s="198"/>
      <c r="BT299" s="198"/>
      <c r="BU299" s="198"/>
      <c r="BV299" s="198"/>
      <c r="BW299" s="198"/>
      <c r="BX299" s="187"/>
      <c r="BY299" s="187"/>
      <c r="BZ299" s="187"/>
    </row>
    <row r="300" spans="50:78" ht="15">
      <c r="AX300" s="187"/>
      <c r="AY300" s="187"/>
      <c r="AZ300" s="187"/>
      <c r="BA300" s="187"/>
      <c r="BB300" s="187"/>
      <c r="BC300" s="180"/>
      <c r="BD300" s="180"/>
      <c r="BE300" s="180"/>
      <c r="BF300" s="229"/>
      <c r="BG300" s="187"/>
      <c r="BH300" s="224"/>
      <c r="BI300" s="217"/>
      <c r="BJ300" s="216"/>
      <c r="BK300" s="216"/>
      <c r="BL300" s="216"/>
      <c r="BM300" s="216"/>
      <c r="BN300" s="216"/>
      <c r="BO300" s="187"/>
      <c r="BP300" s="187"/>
      <c r="BQ300" s="230"/>
      <c r="BR300" s="224"/>
      <c r="BS300" s="198"/>
      <c r="BT300" s="198"/>
      <c r="BU300" s="198"/>
      <c r="BV300" s="198"/>
      <c r="BW300" s="198"/>
      <c r="BX300" s="187"/>
      <c r="BY300" s="187"/>
      <c r="BZ300" s="187"/>
    </row>
    <row r="301" spans="50:78" ht="15">
      <c r="AX301" s="187"/>
      <c r="AY301" s="187"/>
      <c r="AZ301" s="187"/>
      <c r="BA301" s="187"/>
      <c r="BB301" s="187"/>
      <c r="BC301" s="180"/>
      <c r="BD301" s="180"/>
      <c r="BE301" s="180"/>
      <c r="BF301" s="229"/>
      <c r="BG301" s="187"/>
      <c r="BH301" s="224"/>
      <c r="BI301" s="217"/>
      <c r="BJ301" s="216"/>
      <c r="BK301" s="216"/>
      <c r="BL301" s="216"/>
      <c r="BM301" s="216"/>
      <c r="BN301" s="216"/>
      <c r="BO301" s="187"/>
      <c r="BP301" s="187"/>
      <c r="BQ301" s="230"/>
      <c r="BR301" s="224"/>
      <c r="BS301" s="198"/>
      <c r="BT301" s="198"/>
      <c r="BU301" s="198"/>
      <c r="BV301" s="198"/>
      <c r="BW301" s="198"/>
      <c r="BX301" s="187"/>
      <c r="BY301" s="187"/>
      <c r="BZ301" s="187"/>
    </row>
    <row r="302" spans="50:78" ht="15">
      <c r="AX302" s="187"/>
      <c r="AY302" s="187"/>
      <c r="AZ302" s="187"/>
      <c r="BA302" s="187"/>
      <c r="BB302" s="187"/>
      <c r="BC302" s="180"/>
      <c r="BD302" s="180"/>
      <c r="BE302" s="180"/>
      <c r="BF302" s="229"/>
      <c r="BG302" s="187"/>
      <c r="BH302" s="224"/>
      <c r="BI302" s="217"/>
      <c r="BJ302" s="216"/>
      <c r="BK302" s="216"/>
      <c r="BL302" s="216"/>
      <c r="BM302" s="216"/>
      <c r="BN302" s="216"/>
      <c r="BO302" s="187"/>
      <c r="BP302" s="187"/>
      <c r="BQ302" s="230"/>
      <c r="BR302" s="224"/>
      <c r="BS302" s="198"/>
      <c r="BT302" s="198"/>
      <c r="BU302" s="198"/>
      <c r="BV302" s="198"/>
      <c r="BW302" s="198"/>
      <c r="BX302" s="187"/>
      <c r="BY302" s="187"/>
      <c r="BZ302" s="187"/>
    </row>
    <row r="303" spans="50:78" ht="15">
      <c r="AX303" s="187"/>
      <c r="AY303" s="187"/>
      <c r="AZ303" s="187"/>
      <c r="BA303" s="187"/>
      <c r="BB303" s="187"/>
      <c r="BC303" s="180"/>
      <c r="BD303" s="180"/>
      <c r="BE303" s="180"/>
      <c r="BF303" s="229"/>
      <c r="BG303" s="180"/>
      <c r="BH303" s="216"/>
      <c r="BI303" s="216"/>
      <c r="BJ303" s="216"/>
      <c r="BK303" s="216"/>
      <c r="BL303" s="216"/>
      <c r="BM303" s="216"/>
      <c r="BN303" s="216"/>
      <c r="BO303" s="187"/>
      <c r="BP303" s="187"/>
      <c r="BQ303" s="230"/>
      <c r="BR303" s="224"/>
      <c r="BS303" s="198"/>
      <c r="BT303" s="198"/>
      <c r="BU303" s="198"/>
      <c r="BV303" s="198"/>
      <c r="BW303" s="198"/>
      <c r="BX303" s="187"/>
      <c r="BY303" s="187"/>
      <c r="BZ303" s="187"/>
    </row>
    <row r="304" spans="50:78" ht="15">
      <c r="AX304" s="187"/>
      <c r="AY304" s="187"/>
      <c r="AZ304" s="187"/>
      <c r="BA304" s="187"/>
      <c r="BB304" s="187"/>
      <c r="BC304" s="180"/>
      <c r="BD304" s="180"/>
      <c r="BE304" s="180"/>
      <c r="BF304" s="229"/>
      <c r="BG304" s="180"/>
      <c r="BH304" s="216"/>
      <c r="BI304" s="216"/>
      <c r="BJ304" s="216"/>
      <c r="BK304" s="216"/>
      <c r="BL304" s="216"/>
      <c r="BM304" s="216"/>
      <c r="BN304" s="216"/>
      <c r="BO304" s="187"/>
      <c r="BP304" s="187"/>
      <c r="BQ304" s="230"/>
      <c r="BR304" s="224"/>
      <c r="BS304" s="198"/>
      <c r="BT304" s="198"/>
      <c r="BU304" s="198"/>
      <c r="BV304" s="198"/>
      <c r="BW304" s="198"/>
      <c r="BX304" s="187"/>
      <c r="BY304" s="187"/>
      <c r="BZ304" s="187"/>
    </row>
    <row r="305" spans="50:78" ht="15">
      <c r="AX305" s="187"/>
      <c r="AY305" s="187"/>
      <c r="AZ305" s="187"/>
      <c r="BA305" s="187"/>
      <c r="BB305" s="187"/>
      <c r="BC305" s="180"/>
      <c r="BD305" s="180"/>
      <c r="BE305" s="180"/>
      <c r="BF305" s="229"/>
      <c r="BG305" s="180"/>
      <c r="BH305" s="180"/>
      <c r="BI305" s="180"/>
      <c r="BJ305" s="180"/>
      <c r="BK305" s="180"/>
      <c r="BL305" s="187"/>
      <c r="BM305" s="187"/>
      <c r="BN305" s="187"/>
      <c r="BO305" s="187"/>
      <c r="BP305" s="187"/>
      <c r="BQ305" s="187"/>
      <c r="BR305" s="187"/>
      <c r="BS305" s="187"/>
      <c r="BT305" s="187"/>
      <c r="BU305" s="187"/>
      <c r="BV305" s="187"/>
      <c r="BW305" s="187"/>
      <c r="BX305" s="187"/>
      <c r="BY305" s="187"/>
      <c r="BZ305" s="187"/>
    </row>
    <row r="306" spans="50:78" ht="15">
      <c r="AX306" s="187"/>
      <c r="AY306" s="187"/>
      <c r="AZ306" s="187"/>
      <c r="BA306" s="187"/>
      <c r="BB306" s="187"/>
      <c r="BC306" s="180"/>
      <c r="BD306" s="180"/>
      <c r="BE306" s="180"/>
      <c r="BF306" s="229"/>
      <c r="BG306" s="180"/>
      <c r="BH306" s="180"/>
      <c r="BI306" s="180"/>
      <c r="BJ306" s="180"/>
      <c r="BK306" s="180"/>
      <c r="BL306" s="180"/>
      <c r="BM306" s="180"/>
      <c r="BN306" s="180"/>
      <c r="BO306" s="180"/>
      <c r="BP306" s="180"/>
      <c r="BQ306" s="187"/>
      <c r="BR306" s="187"/>
      <c r="BS306" s="187"/>
      <c r="BT306" s="187"/>
      <c r="BU306" s="187"/>
      <c r="BV306" s="187"/>
      <c r="BW306" s="187"/>
      <c r="BX306" s="187"/>
      <c r="BY306" s="187"/>
      <c r="BZ306" s="187"/>
    </row>
    <row r="307" spans="50:78" ht="15">
      <c r="AX307" s="187"/>
      <c r="AY307" s="187"/>
      <c r="AZ307" s="187"/>
      <c r="BA307" s="187"/>
      <c r="BB307" s="187"/>
      <c r="BC307" s="180"/>
      <c r="BD307" s="180"/>
      <c r="BE307" s="180"/>
      <c r="BF307" s="229"/>
      <c r="BG307" s="180"/>
      <c r="BH307" s="180"/>
      <c r="BI307" s="180"/>
      <c r="BJ307" s="180"/>
      <c r="BK307" s="180"/>
      <c r="BL307" s="180"/>
      <c r="BM307" s="180"/>
      <c r="BN307" s="180"/>
      <c r="BO307" s="180"/>
      <c r="BP307" s="180"/>
      <c r="BQ307" s="187"/>
      <c r="BR307" s="187"/>
      <c r="BS307" s="187"/>
      <c r="BT307" s="187"/>
      <c r="BU307" s="187"/>
      <c r="BV307" s="187"/>
      <c r="BW307" s="187"/>
      <c r="BX307" s="187"/>
      <c r="BY307" s="187"/>
      <c r="BZ307" s="187"/>
    </row>
    <row r="308" spans="50:78" ht="15">
      <c r="AX308" s="187"/>
      <c r="AY308" s="187"/>
      <c r="AZ308" s="187"/>
      <c r="BA308" s="187"/>
      <c r="BB308" s="187"/>
      <c r="BC308" s="180"/>
      <c r="BD308" s="180"/>
      <c r="BE308" s="180"/>
      <c r="BF308" s="229"/>
      <c r="BG308" s="180"/>
      <c r="BH308" s="180"/>
      <c r="BI308" s="180"/>
      <c r="BJ308" s="180"/>
      <c r="BK308" s="180"/>
      <c r="BL308" s="187"/>
      <c r="BM308" s="187"/>
      <c r="BN308" s="187"/>
      <c r="BO308" s="187"/>
      <c r="BP308" s="187"/>
      <c r="BQ308" s="187"/>
      <c r="BR308" s="187"/>
      <c r="BS308" s="187"/>
      <c r="BT308" s="187"/>
      <c r="BU308" s="187"/>
      <c r="BV308" s="187"/>
      <c r="BW308" s="187"/>
      <c r="BX308" s="187"/>
      <c r="BY308" s="187"/>
      <c r="BZ308" s="187"/>
    </row>
    <row r="309" spans="50:78" ht="15">
      <c r="AX309" s="187"/>
      <c r="AY309" s="187"/>
      <c r="AZ309" s="187"/>
      <c r="BA309" s="187"/>
      <c r="BB309" s="187"/>
      <c r="BC309" s="180"/>
      <c r="BD309" s="180"/>
      <c r="BE309" s="180"/>
      <c r="BF309" s="180"/>
      <c r="BG309" s="180"/>
      <c r="BH309" s="180"/>
      <c r="BI309" s="180"/>
      <c r="BJ309" s="180"/>
      <c r="BK309" s="180"/>
      <c r="BL309" s="187"/>
      <c r="BM309" s="187"/>
      <c r="BN309" s="187"/>
      <c r="BO309" s="187"/>
      <c r="BP309" s="187"/>
      <c r="BQ309" s="187"/>
      <c r="BR309" s="187"/>
      <c r="BS309" s="187"/>
      <c r="BT309" s="187"/>
      <c r="BU309" s="187"/>
      <c r="BV309" s="187"/>
      <c r="BW309" s="187"/>
      <c r="BX309" s="187"/>
      <c r="BY309" s="187"/>
      <c r="BZ309" s="187"/>
    </row>
    <row r="310" spans="50:78" ht="15">
      <c r="AX310" s="187"/>
      <c r="AY310" s="187"/>
      <c r="AZ310" s="187"/>
      <c r="BA310" s="187"/>
      <c r="BB310" s="187"/>
      <c r="BC310" s="180"/>
      <c r="BD310" s="180"/>
      <c r="BE310" s="180"/>
      <c r="BF310" s="180"/>
      <c r="BG310" s="180"/>
      <c r="BH310" s="180"/>
      <c r="BI310" s="180"/>
      <c r="BJ310" s="180"/>
      <c r="BK310" s="180"/>
      <c r="BL310" s="187"/>
      <c r="BM310" s="187"/>
      <c r="BN310" s="187"/>
      <c r="BO310" s="187"/>
      <c r="BP310" s="187"/>
      <c r="BQ310" s="187"/>
      <c r="BR310" s="187"/>
      <c r="BS310" s="187"/>
      <c r="BT310" s="187"/>
      <c r="BU310" s="187"/>
      <c r="BV310" s="187"/>
      <c r="BW310" s="187"/>
      <c r="BX310" s="187"/>
      <c r="BY310" s="187"/>
      <c r="BZ310" s="187"/>
    </row>
    <row r="311" spans="55:63" ht="15">
      <c r="BC311" s="133"/>
      <c r="BD311" s="133"/>
      <c r="BE311" s="133"/>
      <c r="BF311" s="133"/>
      <c r="BG311" s="133"/>
      <c r="BH311" s="133"/>
      <c r="BI311" s="133"/>
      <c r="BJ311" s="133"/>
      <c r="BK311" s="133"/>
    </row>
    <row r="312" spans="55:63" ht="15">
      <c r="BC312" s="133"/>
      <c r="BD312" s="133"/>
      <c r="BE312" s="133"/>
      <c r="BF312" s="133"/>
      <c r="BG312" s="133"/>
      <c r="BH312" s="133"/>
      <c r="BI312" s="133"/>
      <c r="BJ312" s="133"/>
      <c r="BK312" s="133"/>
    </row>
    <row r="313" spans="55:63" ht="15">
      <c r="BC313" s="133"/>
      <c r="BD313" s="133"/>
      <c r="BE313" s="133"/>
      <c r="BF313" s="133"/>
      <c r="BG313" s="133"/>
      <c r="BH313" s="133"/>
      <c r="BI313" s="133"/>
      <c r="BJ313" s="133"/>
      <c r="BK313" s="133"/>
    </row>
    <row r="314" spans="55:63" ht="15">
      <c r="BC314" s="133"/>
      <c r="BD314" s="133"/>
      <c r="BE314" s="133"/>
      <c r="BF314" s="133"/>
      <c r="BG314" s="133"/>
      <c r="BH314" s="133"/>
      <c r="BI314" s="133"/>
      <c r="BJ314" s="133"/>
      <c r="BK314" s="133"/>
    </row>
    <row r="315" spans="55:63" ht="15">
      <c r="BC315" s="133"/>
      <c r="BD315" s="133"/>
      <c r="BE315" s="133"/>
      <c r="BF315" s="133"/>
      <c r="BG315" s="133"/>
      <c r="BH315" s="133"/>
      <c r="BI315" s="133"/>
      <c r="BJ315" s="133"/>
      <c r="BK315" s="133"/>
    </row>
    <row r="316" spans="55:63" ht="15">
      <c r="BC316" s="133"/>
      <c r="BD316" s="133"/>
      <c r="BE316" s="133"/>
      <c r="BF316" s="133"/>
      <c r="BG316" s="133"/>
      <c r="BH316" s="133"/>
      <c r="BI316" s="133"/>
      <c r="BJ316" s="133"/>
      <c r="BK316" s="133"/>
    </row>
    <row r="317" spans="55:63" ht="15">
      <c r="BC317" s="133"/>
      <c r="BD317" s="133"/>
      <c r="BE317" s="133"/>
      <c r="BF317" s="133"/>
      <c r="BG317" s="133"/>
      <c r="BH317" s="133"/>
      <c r="BI317" s="133"/>
      <c r="BJ317" s="133"/>
      <c r="BK317" s="133"/>
    </row>
  </sheetData>
  <sheetProtection password="C18A" sheet="1" objects="1" scenarios="1" selectLockedCells="1"/>
  <mergeCells count="2">
    <mergeCell ref="A1:D1"/>
    <mergeCell ref="A2:G2"/>
  </mergeCells>
  <conditionalFormatting sqref="D188">
    <cfRule type="expression" priority="1" dxfId="0" stopIfTrue="1">
      <formula>IF($AQ$215="",TRUE,FALSE)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3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="70" zoomScaleNormal="70" zoomScalePageLayoutView="0" workbookViewId="0" topLeftCell="A1">
      <selection activeCell="V42" sqref="V42"/>
    </sheetView>
  </sheetViews>
  <sheetFormatPr defaultColWidth="9.140625" defaultRowHeight="12.75"/>
  <cols>
    <col min="9" max="9" width="9.57421875" style="0" bestFit="1" customWidth="1"/>
  </cols>
  <sheetData>
    <row r="1" spans="2:20" ht="15.75">
      <c r="B1" s="6"/>
      <c r="C1" s="7" t="s">
        <v>63</v>
      </c>
      <c r="E1" s="8"/>
      <c r="F1" s="8"/>
      <c r="G1" s="8"/>
      <c r="K1" s="9"/>
      <c r="L1" s="10"/>
      <c r="M1" s="10" t="s">
        <v>64</v>
      </c>
      <c r="N1" s="10"/>
      <c r="O1" s="10"/>
      <c r="P1" s="10"/>
      <c r="R1" t="s">
        <v>74</v>
      </c>
      <c r="T1" t="s">
        <v>75</v>
      </c>
    </row>
    <row r="2" spans="2:20" ht="15.75">
      <c r="B2" s="6"/>
      <c r="C2" s="12"/>
      <c r="D2" s="366" t="s">
        <v>66</v>
      </c>
      <c r="F2" s="12"/>
      <c r="G2" s="13"/>
      <c r="K2" s="364"/>
      <c r="L2" s="365"/>
      <c r="M2" s="365" t="s">
        <v>65</v>
      </c>
      <c r="N2" s="365"/>
      <c r="O2" s="365"/>
      <c r="P2" s="365"/>
      <c r="R2" s="2" t="s">
        <v>59</v>
      </c>
      <c r="T2" s="2" t="s">
        <v>59</v>
      </c>
    </row>
    <row r="3" spans="1:20" ht="13.5" thickBot="1">
      <c r="A3" s="11"/>
      <c r="K3" s="11"/>
      <c r="L3" s="11"/>
      <c r="M3" s="11"/>
      <c r="N3" s="11"/>
      <c r="O3" s="11"/>
      <c r="P3" s="11"/>
      <c r="R3" s="4" t="s">
        <v>10</v>
      </c>
      <c r="S3" s="4"/>
      <c r="T3" s="4" t="s">
        <v>10</v>
      </c>
    </row>
    <row r="4" spans="1:20" ht="15.75">
      <c r="A4" s="14" t="s">
        <v>66</v>
      </c>
      <c r="B4" s="15" t="s">
        <v>67</v>
      </c>
      <c r="C4" s="16" t="s">
        <v>68</v>
      </c>
      <c r="D4" s="17" t="s">
        <v>69</v>
      </c>
      <c r="E4" s="18" t="s">
        <v>70</v>
      </c>
      <c r="F4" s="16" t="s">
        <v>71</v>
      </c>
      <c r="G4" s="16" t="s">
        <v>72</v>
      </c>
      <c r="K4" s="19" t="s">
        <v>67</v>
      </c>
      <c r="L4" s="20" t="s">
        <v>68</v>
      </c>
      <c r="M4" s="20" t="s">
        <v>73</v>
      </c>
      <c r="N4" s="21" t="s">
        <v>70</v>
      </c>
      <c r="O4" s="22" t="s">
        <v>71</v>
      </c>
      <c r="P4" s="20" t="s">
        <v>72</v>
      </c>
      <c r="R4" s="4"/>
      <c r="S4" s="4"/>
      <c r="T4" s="4"/>
    </row>
    <row r="5" spans="1:20" ht="15.75">
      <c r="A5" s="23" t="s">
        <v>66</v>
      </c>
      <c r="B5" s="24">
        <v>2</v>
      </c>
      <c r="C5" s="25">
        <v>0.063</v>
      </c>
      <c r="D5" s="25">
        <v>0.437</v>
      </c>
      <c r="E5" s="26">
        <f aca="true" t="shared" si="0" ref="E5:E32">(D5)^2/((D5+C5)^2)</f>
        <v>0.763876</v>
      </c>
      <c r="F5" s="27">
        <f aca="true" t="shared" si="1" ref="F5:F32">(D5*25.4)</f>
        <v>11.0998</v>
      </c>
      <c r="G5" s="25">
        <v>25</v>
      </c>
      <c r="K5" s="28">
        <v>16</v>
      </c>
      <c r="L5" s="25">
        <v>0.009</v>
      </c>
      <c r="M5" s="25">
        <v>0.0535</v>
      </c>
      <c r="N5" s="26">
        <f aca="true" t="shared" si="2" ref="N5:N44">(M5)^2/((L5+M5)^2)</f>
        <v>0.7327359999999999</v>
      </c>
      <c r="O5" s="27">
        <f aca="true" t="shared" si="3" ref="O5:O44">(M5)*25.4</f>
        <v>1.3589</v>
      </c>
      <c r="P5" s="25">
        <v>9.5</v>
      </c>
      <c r="R5" s="38">
        <f>IF('VIB SPEC SHEET'!$H$59="MARKET GRADE",B5,IF('VIB SPEC SHEET'!$H$59="TENSILE BOLTING",K5,""))</f>
      </c>
      <c r="T5" s="38">
        <f>IF('VIB SPEC SHEET'!$H$63="MARKET GRADE",B5,IF('VIB SPEC SHEET'!$H$63="TENSILE BOLTING",K5,""))</f>
      </c>
    </row>
    <row r="6" spans="1:20" ht="15.75">
      <c r="A6" s="23" t="s">
        <v>66</v>
      </c>
      <c r="B6" s="28">
        <v>3</v>
      </c>
      <c r="C6" s="25">
        <v>0.054</v>
      </c>
      <c r="D6" s="25">
        <v>0.279</v>
      </c>
      <c r="E6" s="26">
        <f t="shared" si="0"/>
        <v>0.7019722425127831</v>
      </c>
      <c r="F6" s="27">
        <f t="shared" si="1"/>
        <v>7.086600000000001</v>
      </c>
      <c r="G6" s="25">
        <v>20</v>
      </c>
      <c r="K6" s="28">
        <v>18</v>
      </c>
      <c r="L6" s="25">
        <v>0.009</v>
      </c>
      <c r="M6" s="25">
        <v>0.0466</v>
      </c>
      <c r="N6" s="26">
        <f t="shared" si="2"/>
        <v>0.7024610527405414</v>
      </c>
      <c r="O6" s="27">
        <f t="shared" si="3"/>
        <v>1.18364</v>
      </c>
      <c r="P6" s="25">
        <v>9</v>
      </c>
      <c r="R6" s="38">
        <f>IF('VIB SPEC SHEET'!$H$59="MARKET GRADE",B6,IF('VIB SPEC SHEET'!$H$59="TENSILE BOLTING",K6,""))</f>
      </c>
      <c r="T6" s="38">
        <f>IF('VIB SPEC SHEET'!$H$63="MARKET GRADE",B6,IF('VIB SPEC SHEET'!$H$63="TENSILE BOLTING",K6,""))</f>
      </c>
    </row>
    <row r="7" spans="1:20" ht="15.75">
      <c r="A7" s="23" t="s">
        <v>66</v>
      </c>
      <c r="B7" s="28">
        <v>4</v>
      </c>
      <c r="C7" s="25">
        <v>0.0475</v>
      </c>
      <c r="D7" s="25">
        <v>0.2023</v>
      </c>
      <c r="E7" s="26">
        <f t="shared" si="0"/>
        <v>0.655853585991291</v>
      </c>
      <c r="F7" s="27">
        <f t="shared" si="1"/>
        <v>5.13842</v>
      </c>
      <c r="G7" s="25">
        <v>18</v>
      </c>
      <c r="H7" s="29"/>
      <c r="K7" s="28">
        <v>20</v>
      </c>
      <c r="L7" s="25">
        <v>0.009</v>
      </c>
      <c r="M7" s="25">
        <v>0.041</v>
      </c>
      <c r="N7" s="26">
        <f t="shared" si="2"/>
        <v>0.6724</v>
      </c>
      <c r="O7" s="27">
        <f t="shared" si="3"/>
        <v>1.0413999999999999</v>
      </c>
      <c r="P7" s="25">
        <v>8.8</v>
      </c>
      <c r="Q7" s="29"/>
      <c r="R7" s="38">
        <f>IF('VIB SPEC SHEET'!$H$59="MARKET GRADE",B7,IF('VIB SPEC SHEET'!$H$59="TENSILE BOLTING",K7,""))</f>
      </c>
      <c r="T7" s="38">
        <f>IF('VIB SPEC SHEET'!$H$63="MARKET GRADE",B7,IF('VIB SPEC SHEET'!$H$63="TENSILE BOLTING",K7,""))</f>
      </c>
    </row>
    <row r="8" spans="1:20" ht="15.75">
      <c r="A8" s="23" t="s">
        <v>66</v>
      </c>
      <c r="B8" s="28">
        <v>5</v>
      </c>
      <c r="C8" s="25">
        <v>0.041</v>
      </c>
      <c r="D8" s="25">
        <v>0.159</v>
      </c>
      <c r="E8" s="26">
        <f t="shared" si="0"/>
        <v>0.632025</v>
      </c>
      <c r="F8" s="27">
        <f t="shared" si="1"/>
        <v>4.0386</v>
      </c>
      <c r="G8" s="25">
        <v>17</v>
      </c>
      <c r="H8" s="29"/>
      <c r="K8" s="28">
        <v>22</v>
      </c>
      <c r="L8" s="25">
        <v>0.0075</v>
      </c>
      <c r="M8" s="25">
        <v>0.038</v>
      </c>
      <c r="N8" s="26">
        <f t="shared" si="2"/>
        <v>0.6975003018959063</v>
      </c>
      <c r="O8" s="27">
        <f t="shared" si="3"/>
        <v>0.9652</v>
      </c>
      <c r="P8" s="25">
        <v>8.4</v>
      </c>
      <c r="Q8" s="30"/>
      <c r="R8" s="38">
        <f>IF('VIB SPEC SHEET'!$H$59="MARKET GRADE",B8,IF('VIB SPEC SHEET'!$H$59="TENSILE BOLTING",K8,""))</f>
      </c>
      <c r="T8" s="38">
        <f>IF('VIB SPEC SHEET'!$H$63="MARKET GRADE",B8,IF('VIB SPEC SHEET'!$H$63="TENSILE BOLTING",K8,""))</f>
      </c>
    </row>
    <row r="9" spans="1:20" ht="15.75">
      <c r="A9" s="23" t="s">
        <v>66</v>
      </c>
      <c r="B9" s="28">
        <v>6</v>
      </c>
      <c r="C9" s="25">
        <v>0.0348</v>
      </c>
      <c r="D9" s="25">
        <v>0.1318</v>
      </c>
      <c r="E9" s="26">
        <f t="shared" si="0"/>
        <v>0.6258652320472007</v>
      </c>
      <c r="F9" s="27">
        <f t="shared" si="1"/>
        <v>3.34772</v>
      </c>
      <c r="G9" s="25">
        <v>15</v>
      </c>
      <c r="H9" s="29"/>
      <c r="K9" s="28">
        <v>24</v>
      </c>
      <c r="L9" s="25">
        <v>0.0075</v>
      </c>
      <c r="M9" s="25">
        <v>0.0342</v>
      </c>
      <c r="N9" s="26">
        <f t="shared" si="2"/>
        <v>0.6726359919258837</v>
      </c>
      <c r="O9" s="27">
        <f t="shared" si="3"/>
        <v>0.86868</v>
      </c>
      <c r="P9" s="25">
        <v>8</v>
      </c>
      <c r="Q9" s="30"/>
      <c r="R9" s="38">
        <f>IF('VIB SPEC SHEET'!$H$59="MARKET GRADE",B9,IF('VIB SPEC SHEET'!$H$59="TENSILE BOLTING",K9,""))</f>
      </c>
      <c r="T9" s="38">
        <f>IF('VIB SPEC SHEET'!$H$63="MARKET GRADE",B9,IF('VIB SPEC SHEET'!$H$63="TENSILE BOLTING",K9,""))</f>
      </c>
    </row>
    <row r="10" spans="1:20" ht="15.75">
      <c r="A10" s="23" t="s">
        <v>66</v>
      </c>
      <c r="B10" s="28">
        <v>7</v>
      </c>
      <c r="C10" s="25">
        <v>0.035</v>
      </c>
      <c r="D10" s="25">
        <v>0.108</v>
      </c>
      <c r="E10" s="26">
        <f t="shared" si="0"/>
        <v>0.5703946403247101</v>
      </c>
      <c r="F10" s="27">
        <f t="shared" si="1"/>
        <v>2.7432</v>
      </c>
      <c r="G10" s="25">
        <v>13</v>
      </c>
      <c r="H10" s="29"/>
      <c r="K10" s="28">
        <v>26</v>
      </c>
      <c r="L10" s="25">
        <v>0.0075</v>
      </c>
      <c r="M10" s="25">
        <v>0.031</v>
      </c>
      <c r="N10" s="26">
        <f t="shared" si="2"/>
        <v>0.6483386743127002</v>
      </c>
      <c r="O10" s="27">
        <f t="shared" si="3"/>
        <v>0.7874</v>
      </c>
      <c r="P10" s="25">
        <v>7.8</v>
      </c>
      <c r="Q10" s="30"/>
      <c r="R10" s="38">
        <f>IF('VIB SPEC SHEET'!$H$59="MARKET GRADE",B10,IF('VIB SPEC SHEET'!$H$59="TENSILE BOLTING",K10,""))</f>
      </c>
      <c r="T10" s="38">
        <f>IF('VIB SPEC SHEET'!$H$63="MARKET GRADE",B10,IF('VIB SPEC SHEET'!$H$63="TENSILE BOLTING",K10,""))</f>
      </c>
    </row>
    <row r="11" spans="1:20" ht="15.75">
      <c r="A11" s="23" t="s">
        <v>66</v>
      </c>
      <c r="B11" s="28">
        <v>8</v>
      </c>
      <c r="C11" s="25">
        <v>0.0286</v>
      </c>
      <c r="D11" s="25">
        <v>0.0964</v>
      </c>
      <c r="E11" s="26">
        <f t="shared" si="0"/>
        <v>0.59474944</v>
      </c>
      <c r="F11" s="27">
        <f t="shared" si="1"/>
        <v>2.44856</v>
      </c>
      <c r="G11" s="25">
        <v>12</v>
      </c>
      <c r="H11" s="29"/>
      <c r="K11" s="28">
        <v>28</v>
      </c>
      <c r="L11" s="25">
        <v>0.0075</v>
      </c>
      <c r="M11" s="25">
        <v>0.0282</v>
      </c>
      <c r="N11" s="26">
        <f t="shared" si="2"/>
        <v>0.6239672339524047</v>
      </c>
      <c r="O11" s="27">
        <f t="shared" si="3"/>
        <v>0.7162799999999999</v>
      </c>
      <c r="P11" s="25">
        <v>7.5</v>
      </c>
      <c r="Q11" s="30"/>
      <c r="R11" s="38">
        <f>IF('VIB SPEC SHEET'!$H$59="MARKET GRADE",B11,IF('VIB SPEC SHEET'!$H$59="TENSILE BOLTING",K11,""))</f>
      </c>
      <c r="T11" s="38">
        <f>IF('VIB SPEC SHEET'!$H$63="MARKET GRADE",B11,IF('VIB SPEC SHEET'!$H$63="TENSILE BOLTING",K11,""))</f>
      </c>
    </row>
    <row r="12" spans="1:20" ht="15.75">
      <c r="A12" s="23" t="s">
        <v>66</v>
      </c>
      <c r="B12" s="28">
        <v>10</v>
      </c>
      <c r="C12" s="25">
        <v>0.0258</v>
      </c>
      <c r="D12" s="25">
        <v>0.0742</v>
      </c>
      <c r="E12" s="26">
        <f t="shared" si="0"/>
        <v>0.5505639999999999</v>
      </c>
      <c r="F12" s="27">
        <f t="shared" si="1"/>
        <v>1.88468</v>
      </c>
      <c r="G12" s="25">
        <v>11</v>
      </c>
      <c r="H12" s="29"/>
      <c r="K12" s="28">
        <v>30</v>
      </c>
      <c r="L12" s="25">
        <v>0.0065</v>
      </c>
      <c r="M12" s="25">
        <v>0.0268</v>
      </c>
      <c r="N12" s="26">
        <f t="shared" si="2"/>
        <v>0.6477107738368999</v>
      </c>
      <c r="O12" s="27">
        <f t="shared" si="3"/>
        <v>0.68072</v>
      </c>
      <c r="P12" s="25">
        <v>7.2</v>
      </c>
      <c r="Q12" s="30"/>
      <c r="R12" s="38">
        <f>IF('VIB SPEC SHEET'!$H$59="MARKET GRADE",B12,IF('VIB SPEC SHEET'!$H$59="TENSILE BOLTING",K12,""))</f>
      </c>
      <c r="T12" s="38">
        <f>IF('VIB SPEC SHEET'!$H$63="MARKET GRADE",B12,IF('VIB SPEC SHEET'!$H$63="TENSILE BOLTING",K12,""))</f>
      </c>
    </row>
    <row r="13" spans="1:20" ht="15.75">
      <c r="A13" s="23" t="s">
        <v>66</v>
      </c>
      <c r="B13" s="28">
        <v>11</v>
      </c>
      <c r="C13" s="25">
        <v>0.018</v>
      </c>
      <c r="D13" s="25">
        <v>0.073</v>
      </c>
      <c r="E13" s="26">
        <f t="shared" si="0"/>
        <v>0.6435213138509841</v>
      </c>
      <c r="F13" s="27">
        <f t="shared" si="1"/>
        <v>1.8541999999999998</v>
      </c>
      <c r="G13" s="25">
        <v>10.5</v>
      </c>
      <c r="H13" s="29"/>
      <c r="K13" s="28">
        <v>32</v>
      </c>
      <c r="L13" s="25">
        <v>0.0065</v>
      </c>
      <c r="M13" s="25">
        <v>0.0248</v>
      </c>
      <c r="N13" s="26">
        <f t="shared" si="2"/>
        <v>0.6277904235013115</v>
      </c>
      <c r="O13" s="27">
        <f t="shared" si="3"/>
        <v>0.6299199999999999</v>
      </c>
      <c r="P13" s="25">
        <v>7</v>
      </c>
      <c r="Q13" s="30"/>
      <c r="R13" s="38">
        <f>IF('VIB SPEC SHEET'!$H$59="MARKET GRADE",B13,IF('VIB SPEC SHEET'!$H$59="TENSILE BOLTING",K13,""))</f>
      </c>
      <c r="T13" s="38">
        <f>IF('VIB SPEC SHEET'!$H$63="MARKET GRADE",B13,IF('VIB SPEC SHEET'!$H$63="TENSILE BOLTING",K13,""))</f>
      </c>
    </row>
    <row r="14" spans="1:20" ht="15.75">
      <c r="A14" s="23" t="s">
        <v>66</v>
      </c>
      <c r="B14" s="28">
        <v>12</v>
      </c>
      <c r="C14" s="25">
        <v>0.023</v>
      </c>
      <c r="D14" s="25">
        <v>0.0603</v>
      </c>
      <c r="E14" s="26">
        <f t="shared" si="0"/>
        <v>0.5240160890286487</v>
      </c>
      <c r="F14" s="27">
        <f t="shared" si="1"/>
        <v>1.53162</v>
      </c>
      <c r="G14" s="25">
        <v>10</v>
      </c>
      <c r="H14" s="29"/>
      <c r="K14" s="28">
        <v>34</v>
      </c>
      <c r="L14" s="25">
        <v>0.0065</v>
      </c>
      <c r="M14" s="25">
        <v>0.0229</v>
      </c>
      <c r="N14" s="26">
        <f t="shared" si="2"/>
        <v>0.6067032255078902</v>
      </c>
      <c r="O14" s="27">
        <f t="shared" si="3"/>
        <v>0.58166</v>
      </c>
      <c r="P14" s="25">
        <v>6.9</v>
      </c>
      <c r="Q14" s="30"/>
      <c r="R14" s="38">
        <f>IF('VIB SPEC SHEET'!$H$59="MARKET GRADE",B14,IF('VIB SPEC SHEET'!$H$59="TENSILE BOLTING",K14,""))</f>
      </c>
      <c r="T14" s="38">
        <f>IF('VIB SPEC SHEET'!$H$63="MARKET GRADE",B14,IF('VIB SPEC SHEET'!$H$63="TENSILE BOLTING",K14,""))</f>
      </c>
    </row>
    <row r="15" spans="1:20" ht="15.75">
      <c r="A15" s="23" t="s">
        <v>66</v>
      </c>
      <c r="B15" s="28">
        <v>14</v>
      </c>
      <c r="C15" s="25">
        <v>0.0204</v>
      </c>
      <c r="D15" s="25">
        <v>0.051</v>
      </c>
      <c r="E15" s="26">
        <f t="shared" si="0"/>
        <v>0.5102040816326531</v>
      </c>
      <c r="F15" s="27">
        <f t="shared" si="1"/>
        <v>1.2953999999999999</v>
      </c>
      <c r="G15" s="25">
        <v>9.5</v>
      </c>
      <c r="H15" s="29"/>
      <c r="K15" s="28">
        <v>36</v>
      </c>
      <c r="L15" s="25">
        <v>0.0065</v>
      </c>
      <c r="M15" s="25">
        <v>0.0213</v>
      </c>
      <c r="N15" s="26">
        <f t="shared" si="2"/>
        <v>0.5870425961389163</v>
      </c>
      <c r="O15" s="27">
        <f t="shared" si="3"/>
        <v>0.54102</v>
      </c>
      <c r="P15" s="25">
        <v>6.6</v>
      </c>
      <c r="Q15" s="30"/>
      <c r="R15" s="38">
        <f>IF('VIB SPEC SHEET'!$H$59="MARKET GRADE",B15,IF('VIB SPEC SHEET'!$H$59="TENSILE BOLTING",K15,""))</f>
      </c>
      <c r="T15" s="38">
        <f>IF('VIB SPEC SHEET'!$H$63="MARKET GRADE",B15,IF('VIB SPEC SHEET'!$H$63="TENSILE BOLTING",K15,""))</f>
      </c>
    </row>
    <row r="16" spans="1:20" ht="15.75">
      <c r="A16" s="23" t="s">
        <v>66</v>
      </c>
      <c r="B16" s="28">
        <v>16</v>
      </c>
      <c r="C16" s="25">
        <v>0.0181</v>
      </c>
      <c r="D16" s="25">
        <v>0.0445</v>
      </c>
      <c r="E16" s="26">
        <f t="shared" si="0"/>
        <v>0.5053256642407291</v>
      </c>
      <c r="F16" s="27">
        <f t="shared" si="1"/>
        <v>1.1302999999999999</v>
      </c>
      <c r="G16" s="25">
        <v>9</v>
      </c>
      <c r="H16" s="29"/>
      <c r="K16" s="28">
        <v>38</v>
      </c>
      <c r="L16" s="25">
        <v>0.0065</v>
      </c>
      <c r="M16" s="25">
        <v>0.0198</v>
      </c>
      <c r="N16" s="26">
        <f t="shared" si="2"/>
        <v>0.5667856987957034</v>
      </c>
      <c r="O16" s="27">
        <f t="shared" si="3"/>
        <v>0.50292</v>
      </c>
      <c r="P16" s="25">
        <v>6</v>
      </c>
      <c r="Q16" s="30"/>
      <c r="R16" s="38">
        <f>IF('VIB SPEC SHEET'!$H$59="MARKET GRADE",B16,IF('VIB SPEC SHEET'!$H$59="TENSILE BOLTING",K16,""))</f>
      </c>
      <c r="T16" s="38">
        <f>IF('VIB SPEC SHEET'!$H$63="MARKET GRADE",B16,IF('VIB SPEC SHEET'!$H$63="TENSILE BOLTING",K16,""))</f>
      </c>
    </row>
    <row r="17" spans="1:20" ht="15.75">
      <c r="A17" s="23" t="s">
        <v>66</v>
      </c>
      <c r="B17" s="28">
        <v>18</v>
      </c>
      <c r="C17" s="25">
        <v>0.0173</v>
      </c>
      <c r="D17" s="25">
        <v>0.0386</v>
      </c>
      <c r="E17" s="26">
        <f t="shared" si="0"/>
        <v>0.47681619042437784</v>
      </c>
      <c r="F17" s="27">
        <f t="shared" si="1"/>
        <v>0.98044</v>
      </c>
      <c r="G17" s="25">
        <v>8.5</v>
      </c>
      <c r="H17" s="29"/>
      <c r="K17" s="28">
        <v>40</v>
      </c>
      <c r="L17" s="25">
        <v>0.0065</v>
      </c>
      <c r="M17" s="25">
        <v>0.0185</v>
      </c>
      <c r="N17" s="26">
        <f t="shared" si="2"/>
        <v>0.5476</v>
      </c>
      <c r="O17" s="27">
        <f t="shared" si="3"/>
        <v>0.46989999999999993</v>
      </c>
      <c r="P17" s="25">
        <v>5.6</v>
      </c>
      <c r="Q17" s="30"/>
      <c r="R17" s="38">
        <f>IF('VIB SPEC SHEET'!$H$59="MARKET GRADE",B17,IF('VIB SPEC SHEET'!$H$59="TENSILE BOLTING",K17,""))</f>
      </c>
      <c r="T17" s="38">
        <f>IF('VIB SPEC SHEET'!$H$63="MARKET GRADE",B17,IF('VIB SPEC SHEET'!$H$63="TENSILE BOLTING",K17,""))</f>
      </c>
    </row>
    <row r="18" spans="1:20" ht="15.75">
      <c r="A18" s="23" t="s">
        <v>66</v>
      </c>
      <c r="B18" s="28">
        <v>20</v>
      </c>
      <c r="C18" s="25">
        <v>0.0162</v>
      </c>
      <c r="D18" s="25">
        <v>0.034</v>
      </c>
      <c r="E18" s="26">
        <f t="shared" si="0"/>
        <v>0.4587228774146442</v>
      </c>
      <c r="F18" s="27">
        <f t="shared" si="1"/>
        <v>0.8636</v>
      </c>
      <c r="G18" s="25">
        <v>8</v>
      </c>
      <c r="H18" s="29"/>
      <c r="K18" s="28">
        <v>42</v>
      </c>
      <c r="L18" s="25">
        <v>0.0055</v>
      </c>
      <c r="M18" s="25">
        <v>0.0183</v>
      </c>
      <c r="N18" s="26">
        <f t="shared" si="2"/>
        <v>0.5912188404773674</v>
      </c>
      <c r="O18" s="27">
        <f t="shared" si="3"/>
        <v>0.46481999999999996</v>
      </c>
      <c r="P18" s="25">
        <v>5.2</v>
      </c>
      <c r="Q18" s="30"/>
      <c r="R18" s="38">
        <f>IF('VIB SPEC SHEET'!$H$59="MARKET GRADE",B18,IF('VIB SPEC SHEET'!$H$59="TENSILE BOLTING",K18,""))</f>
      </c>
      <c r="T18" s="38">
        <f>IF('VIB SPEC SHEET'!$H$63="MARKET GRADE",B18,IF('VIB SPEC SHEET'!$H$63="TENSILE BOLTING",K18,""))</f>
      </c>
    </row>
    <row r="19" spans="1:20" ht="15.75">
      <c r="A19" s="23" t="s">
        <v>66</v>
      </c>
      <c r="B19" s="28">
        <v>24</v>
      </c>
      <c r="C19" s="25">
        <v>0.014</v>
      </c>
      <c r="D19" s="25">
        <v>0.0277</v>
      </c>
      <c r="E19" s="26">
        <f t="shared" si="0"/>
        <v>0.44125275319312884</v>
      </c>
      <c r="F19" s="27">
        <f t="shared" si="1"/>
        <v>0.70358</v>
      </c>
      <c r="G19" s="25">
        <v>7.5</v>
      </c>
      <c r="H19" s="29"/>
      <c r="K19" s="28">
        <v>44</v>
      </c>
      <c r="L19" s="25">
        <v>0.0055</v>
      </c>
      <c r="M19" s="25">
        <v>0.0172</v>
      </c>
      <c r="N19" s="26">
        <f t="shared" si="2"/>
        <v>0.5741233092045257</v>
      </c>
      <c r="O19" s="27">
        <f t="shared" si="3"/>
        <v>0.43688</v>
      </c>
      <c r="P19" s="25">
        <v>5</v>
      </c>
      <c r="Q19" s="30"/>
      <c r="R19" s="38">
        <f>IF('VIB SPEC SHEET'!$H$59="MARKET GRADE",B19,IF('VIB SPEC SHEET'!$H$59="TENSILE BOLTING",K19,""))</f>
      </c>
      <c r="T19" s="38">
        <f>IF('VIB SPEC SHEET'!$H$63="MARKET GRADE",B19,IF('VIB SPEC SHEET'!$H$63="TENSILE BOLTING",K19,""))</f>
      </c>
    </row>
    <row r="20" spans="1:20" ht="15.75">
      <c r="A20" s="23" t="s">
        <v>66</v>
      </c>
      <c r="B20" s="28">
        <v>30</v>
      </c>
      <c r="C20" s="25">
        <v>0.0128</v>
      </c>
      <c r="D20" s="25">
        <v>0.0203</v>
      </c>
      <c r="E20" s="26">
        <f t="shared" si="0"/>
        <v>0.37612836684586665</v>
      </c>
      <c r="F20" s="27">
        <f t="shared" si="1"/>
        <v>0.51562</v>
      </c>
      <c r="G20" s="25">
        <v>6</v>
      </c>
      <c r="H20" s="29"/>
      <c r="K20" s="28">
        <v>46</v>
      </c>
      <c r="L20" s="25">
        <v>0.0055</v>
      </c>
      <c r="M20" s="25">
        <v>0.0162</v>
      </c>
      <c r="N20" s="26">
        <f t="shared" si="2"/>
        <v>0.5573276136677356</v>
      </c>
      <c r="O20" s="27">
        <f t="shared" si="3"/>
        <v>0.41147999999999996</v>
      </c>
      <c r="P20" s="25">
        <v>4.8</v>
      </c>
      <c r="Q20" s="30"/>
      <c r="R20" s="38">
        <f>IF('VIB SPEC SHEET'!$H$59="MARKET GRADE",B20,IF('VIB SPEC SHEET'!$H$59="TENSILE BOLTING",K20,""))</f>
      </c>
      <c r="T20" s="38">
        <f>IF('VIB SPEC SHEET'!$H$63="MARKET GRADE",B20,IF('VIB SPEC SHEET'!$H$63="TENSILE BOLTING",K20,""))</f>
      </c>
    </row>
    <row r="21" spans="1:20" ht="15.75">
      <c r="A21" s="23" t="s">
        <v>66</v>
      </c>
      <c r="B21" s="28">
        <v>35</v>
      </c>
      <c r="C21" s="25">
        <v>0.0118</v>
      </c>
      <c r="D21" s="25">
        <v>0.0176</v>
      </c>
      <c r="E21" s="26">
        <f t="shared" si="0"/>
        <v>0.35836919801934375</v>
      </c>
      <c r="F21" s="27">
        <f t="shared" si="1"/>
        <v>0.44704</v>
      </c>
      <c r="G21" s="25">
        <v>5</v>
      </c>
      <c r="H21" s="29"/>
      <c r="K21" s="28">
        <v>48</v>
      </c>
      <c r="L21" s="25">
        <v>0.0055</v>
      </c>
      <c r="M21" s="25">
        <v>0.0153</v>
      </c>
      <c r="N21" s="26">
        <f t="shared" si="2"/>
        <v>0.5410734097633135</v>
      </c>
      <c r="O21" s="27">
        <f t="shared" si="3"/>
        <v>0.38861999999999997</v>
      </c>
      <c r="P21" s="25">
        <v>4.4</v>
      </c>
      <c r="Q21" s="30"/>
      <c r="R21" s="38">
        <f>IF('VIB SPEC SHEET'!$H$59="MARKET GRADE",B21,IF('VIB SPEC SHEET'!$H$59="TENSILE BOLTING",K21,""))</f>
      </c>
      <c r="T21" s="38">
        <f>IF('VIB SPEC SHEET'!$H$63="MARKET GRADE",B21,IF('VIB SPEC SHEET'!$H$63="TENSILE BOLTING",K21,""))</f>
      </c>
    </row>
    <row r="22" spans="1:20" ht="15.75">
      <c r="A22" s="23" t="s">
        <v>66</v>
      </c>
      <c r="B22" s="28">
        <v>40</v>
      </c>
      <c r="C22" s="25">
        <v>0.0104</v>
      </c>
      <c r="D22" s="25">
        <v>0.015</v>
      </c>
      <c r="E22" s="26">
        <f t="shared" si="0"/>
        <v>0.348750697501395</v>
      </c>
      <c r="F22" s="27">
        <f t="shared" si="1"/>
        <v>0.38099999999999995</v>
      </c>
      <c r="G22" s="25">
        <v>4.8</v>
      </c>
      <c r="H22" s="29"/>
      <c r="K22" s="28">
        <v>50</v>
      </c>
      <c r="L22" s="25">
        <v>0.0055</v>
      </c>
      <c r="M22" s="25">
        <v>0.0145</v>
      </c>
      <c r="N22" s="26">
        <f t="shared" si="2"/>
        <v>0.525625</v>
      </c>
      <c r="O22" s="27">
        <f t="shared" si="3"/>
        <v>0.3683</v>
      </c>
      <c r="P22" s="25">
        <v>4.2</v>
      </c>
      <c r="Q22" s="30"/>
      <c r="R22" s="38">
        <f>IF('VIB SPEC SHEET'!$H$59="MARKET GRADE",B22,IF('VIB SPEC SHEET'!$H$59="TENSILE BOLTING",K22,""))</f>
      </c>
      <c r="T22" s="38">
        <f>IF('VIB SPEC SHEET'!$H$63="MARKET GRADE",B22,IF('VIB SPEC SHEET'!$H$63="TENSILE BOLTING",K22,""))</f>
      </c>
    </row>
    <row r="23" spans="1:20" ht="15.75">
      <c r="A23" s="23" t="s">
        <v>66</v>
      </c>
      <c r="B23" s="28">
        <v>50</v>
      </c>
      <c r="C23" s="25">
        <v>0.009</v>
      </c>
      <c r="D23" s="25">
        <v>0.011</v>
      </c>
      <c r="E23" s="26">
        <f t="shared" si="0"/>
        <v>0.3025000000000001</v>
      </c>
      <c r="F23" s="27">
        <f t="shared" si="1"/>
        <v>0.2794</v>
      </c>
      <c r="G23" s="25">
        <v>3.6</v>
      </c>
      <c r="H23" s="29"/>
      <c r="K23" s="28">
        <v>52</v>
      </c>
      <c r="L23" s="25">
        <v>0.0055</v>
      </c>
      <c r="M23" s="25">
        <v>0.0137</v>
      </c>
      <c r="N23" s="26">
        <f t="shared" si="2"/>
        <v>0.5091417100694444</v>
      </c>
      <c r="O23" s="27">
        <f t="shared" si="3"/>
        <v>0.34798</v>
      </c>
      <c r="P23" s="25">
        <v>4</v>
      </c>
      <c r="Q23" s="30"/>
      <c r="R23" s="38">
        <f>IF('VIB SPEC SHEET'!$H$59="MARKET GRADE",B23,IF('VIB SPEC SHEET'!$H$59="TENSILE BOLTING",K23,""))</f>
      </c>
      <c r="T23" s="38">
        <f>IF('VIB SPEC SHEET'!$H$63="MARKET GRADE",B23,IF('VIB SPEC SHEET'!$H$63="TENSILE BOLTING",K23,""))</f>
      </c>
    </row>
    <row r="24" spans="1:20" ht="15.75">
      <c r="A24" s="23" t="s">
        <v>66</v>
      </c>
      <c r="B24" s="28">
        <v>60</v>
      </c>
      <c r="C24" s="25">
        <v>0.0075</v>
      </c>
      <c r="D24" s="25">
        <v>0.0092</v>
      </c>
      <c r="E24" s="26">
        <f t="shared" si="0"/>
        <v>0.30348883072178995</v>
      </c>
      <c r="F24" s="27">
        <f t="shared" si="1"/>
        <v>0.23367999999999997</v>
      </c>
      <c r="G24" s="25">
        <v>2.5</v>
      </c>
      <c r="H24" s="29"/>
      <c r="K24" s="28">
        <v>54</v>
      </c>
      <c r="L24" s="25">
        <v>0.0055</v>
      </c>
      <c r="M24" s="25">
        <v>0.013</v>
      </c>
      <c r="N24" s="26">
        <f t="shared" si="2"/>
        <v>0.49379108838568303</v>
      </c>
      <c r="O24" s="27">
        <f t="shared" si="3"/>
        <v>0.3302</v>
      </c>
      <c r="P24" s="25">
        <v>3.8</v>
      </c>
      <c r="Q24" s="30"/>
      <c r="R24" s="38">
        <f>IF('VIB SPEC SHEET'!$H$59="MARKET GRADE",B24,IF('VIB SPEC SHEET'!$H$59="TENSILE BOLTING",K24,""))</f>
      </c>
      <c r="T24" s="38">
        <f>IF('VIB SPEC SHEET'!$H$63="MARKET GRADE",B24,IF('VIB SPEC SHEET'!$H$63="TENSILE BOLTING",K24,""))</f>
      </c>
    </row>
    <row r="25" spans="1:20" ht="15.75">
      <c r="A25" s="23" t="s">
        <v>66</v>
      </c>
      <c r="B25" s="28">
        <v>80</v>
      </c>
      <c r="C25" s="25">
        <v>0.0055</v>
      </c>
      <c r="D25" s="25">
        <v>0.007</v>
      </c>
      <c r="E25" s="26">
        <f t="shared" si="0"/>
        <v>0.3136</v>
      </c>
      <c r="F25" s="27">
        <f t="shared" si="1"/>
        <v>0.17779999999999999</v>
      </c>
      <c r="G25" s="25">
        <v>1.78</v>
      </c>
      <c r="H25" s="29"/>
      <c r="K25" s="28">
        <v>58</v>
      </c>
      <c r="L25" s="25">
        <v>0.0045</v>
      </c>
      <c r="M25" s="25">
        <v>0.0127</v>
      </c>
      <c r="N25" s="26">
        <f t="shared" si="2"/>
        <v>0.5451933477555435</v>
      </c>
      <c r="O25" s="27">
        <f t="shared" si="3"/>
        <v>0.32258</v>
      </c>
      <c r="P25" s="25">
        <v>3.6</v>
      </c>
      <c r="Q25" s="30"/>
      <c r="R25" s="38">
        <f>IF('VIB SPEC SHEET'!$H$59="MARKET GRADE",B25,IF('VIB SPEC SHEET'!$H$59="TENSILE BOLTING",K25,""))</f>
      </c>
      <c r="T25" s="38">
        <f>IF('VIB SPEC SHEET'!$H$63="MARKET GRADE",B25,IF('VIB SPEC SHEET'!$H$63="TENSILE BOLTING",K25,""))</f>
      </c>
    </row>
    <row r="26" spans="1:20" ht="15.75">
      <c r="A26" s="23" t="s">
        <v>66</v>
      </c>
      <c r="B26" s="28">
        <v>100</v>
      </c>
      <c r="C26" s="25">
        <v>0.0045</v>
      </c>
      <c r="D26" s="25">
        <v>0.005</v>
      </c>
      <c r="E26" s="26">
        <f t="shared" si="0"/>
        <v>0.2770083102493075</v>
      </c>
      <c r="F26" s="27">
        <f t="shared" si="1"/>
        <v>0.127</v>
      </c>
      <c r="G26" s="25">
        <v>1.2</v>
      </c>
      <c r="H26" s="29"/>
      <c r="K26" s="28">
        <v>60</v>
      </c>
      <c r="L26" s="25">
        <v>0.0045</v>
      </c>
      <c r="M26" s="25">
        <v>0.0122</v>
      </c>
      <c r="N26" s="26">
        <f t="shared" si="2"/>
        <v>0.5336871167843953</v>
      </c>
      <c r="O26" s="27">
        <f t="shared" si="3"/>
        <v>0.30988</v>
      </c>
      <c r="P26" s="25">
        <v>3.4</v>
      </c>
      <c r="Q26" s="30"/>
      <c r="R26" s="38">
        <f>IF('VIB SPEC SHEET'!$H$59="MARKET GRADE",B26,IF('VIB SPEC SHEET'!$H$59="TENSILE BOLTING",K26,""))</f>
      </c>
      <c r="T26" s="38">
        <f>IF('VIB SPEC SHEET'!$H$63="MARKET GRADE",B26,IF('VIB SPEC SHEET'!$H$63="TENSILE BOLTING",K26,""))</f>
      </c>
    </row>
    <row r="27" spans="1:20" ht="15.75">
      <c r="A27" s="23" t="s">
        <v>66</v>
      </c>
      <c r="B27" s="28">
        <v>120</v>
      </c>
      <c r="C27" s="25">
        <v>0.0037</v>
      </c>
      <c r="D27" s="25">
        <v>0.0046</v>
      </c>
      <c r="E27" s="26">
        <f t="shared" si="0"/>
        <v>0.307156336188126</v>
      </c>
      <c r="F27" s="27">
        <f t="shared" si="1"/>
        <v>0.11683999999999999</v>
      </c>
      <c r="G27" s="25">
        <v>1.1</v>
      </c>
      <c r="H27" s="29"/>
      <c r="K27" s="28">
        <v>62</v>
      </c>
      <c r="L27" s="25">
        <v>0.0045</v>
      </c>
      <c r="M27" s="25">
        <v>0.0116</v>
      </c>
      <c r="N27" s="26">
        <f t="shared" si="2"/>
        <v>0.5191157748543651</v>
      </c>
      <c r="O27" s="27">
        <f t="shared" si="3"/>
        <v>0.29463999999999996</v>
      </c>
      <c r="P27" s="25">
        <v>3.25</v>
      </c>
      <c r="Q27" s="30"/>
      <c r="R27" s="38">
        <f>IF('VIB SPEC SHEET'!$H$59="MARKET GRADE",B27,IF('VIB SPEC SHEET'!$H$59="TENSILE BOLTING",K27,""))</f>
      </c>
      <c r="T27" s="38">
        <f>IF('VIB SPEC SHEET'!$H$63="MARKET GRADE",B27,IF('VIB SPEC SHEET'!$H$63="TENSILE BOLTING",K27,""))</f>
      </c>
    </row>
    <row r="28" spans="1:20" ht="15.75">
      <c r="A28" s="23" t="s">
        <v>66</v>
      </c>
      <c r="B28" s="28">
        <v>150</v>
      </c>
      <c r="C28" s="25">
        <v>0.0026</v>
      </c>
      <c r="D28" s="25">
        <v>0.0041</v>
      </c>
      <c r="E28" s="26">
        <f t="shared" si="0"/>
        <v>0.3744709289374026</v>
      </c>
      <c r="F28" s="27">
        <f t="shared" si="1"/>
        <v>0.10414</v>
      </c>
      <c r="G28" s="25">
        <v>1.05</v>
      </c>
      <c r="H28" s="29"/>
      <c r="K28" s="28">
        <v>64</v>
      </c>
      <c r="L28" s="25">
        <v>0.0045</v>
      </c>
      <c r="M28" s="25">
        <v>0.0111</v>
      </c>
      <c r="N28" s="26">
        <f t="shared" si="2"/>
        <v>0.5062869822485208</v>
      </c>
      <c r="O28" s="27">
        <f t="shared" si="3"/>
        <v>0.28194</v>
      </c>
      <c r="P28" s="25">
        <v>3.1</v>
      </c>
      <c r="Q28" s="30"/>
      <c r="R28" s="38">
        <f>IF('VIB SPEC SHEET'!$H$59="MARKET GRADE",B28,IF('VIB SPEC SHEET'!$H$59="TENSILE BOLTING",K28,""))</f>
      </c>
      <c r="T28" s="38">
        <f>IF('VIB SPEC SHEET'!$H$63="MARKET GRADE",B28,IF('VIB SPEC SHEET'!$H$63="TENSILE BOLTING",K28,""))</f>
      </c>
    </row>
    <row r="29" spans="1:20" ht="15.75">
      <c r="A29" s="23" t="s">
        <v>66</v>
      </c>
      <c r="B29" s="28">
        <v>200</v>
      </c>
      <c r="C29" s="25">
        <v>0.0021</v>
      </c>
      <c r="D29" s="25">
        <v>0.0029</v>
      </c>
      <c r="E29" s="26">
        <f t="shared" si="0"/>
        <v>0.3364000000000001</v>
      </c>
      <c r="F29" s="27">
        <f t="shared" si="1"/>
        <v>0.07365999999999999</v>
      </c>
      <c r="G29" s="25">
        <v>0.78</v>
      </c>
      <c r="H29" s="29"/>
      <c r="K29" s="28">
        <v>70</v>
      </c>
      <c r="L29" s="25">
        <v>0.0037</v>
      </c>
      <c r="M29" s="25">
        <v>0.0106</v>
      </c>
      <c r="N29" s="26">
        <f t="shared" si="2"/>
        <v>0.5494645214924935</v>
      </c>
      <c r="O29" s="27">
        <f t="shared" si="3"/>
        <v>0.26924</v>
      </c>
      <c r="P29" s="25">
        <v>3</v>
      </c>
      <c r="Q29" s="30"/>
      <c r="R29" s="38">
        <f>IF('VIB SPEC SHEET'!$H$59="MARKET GRADE",B29,IF('VIB SPEC SHEET'!$H$59="TENSILE BOLTING",K29,""))</f>
      </c>
      <c r="T29" s="38">
        <f>IF('VIB SPEC SHEET'!$H$63="MARKET GRADE",B29,IF('VIB SPEC SHEET'!$H$63="TENSILE BOLTING",K29,""))</f>
      </c>
    </row>
    <row r="30" spans="1:20" ht="15.75">
      <c r="A30" s="23" t="s">
        <v>66</v>
      </c>
      <c r="B30" s="28">
        <v>250</v>
      </c>
      <c r="C30" s="25">
        <v>0.0016</v>
      </c>
      <c r="D30" s="25">
        <v>0.0024</v>
      </c>
      <c r="E30" s="26">
        <f t="shared" si="0"/>
        <v>0.35999999999999993</v>
      </c>
      <c r="F30" s="27">
        <f t="shared" si="1"/>
        <v>0.06095999999999999</v>
      </c>
      <c r="G30" s="25">
        <v>0.68</v>
      </c>
      <c r="H30" s="29"/>
      <c r="K30" s="28">
        <v>72</v>
      </c>
      <c r="L30" s="25">
        <v>0.0037</v>
      </c>
      <c r="M30" s="25">
        <v>0.0102</v>
      </c>
      <c r="N30" s="26">
        <f t="shared" si="2"/>
        <v>0.5384814450597795</v>
      </c>
      <c r="O30" s="27">
        <f t="shared" si="3"/>
        <v>0.25908</v>
      </c>
      <c r="P30" s="25">
        <v>2.9</v>
      </c>
      <c r="Q30" s="30"/>
      <c r="R30" s="38">
        <f>IF('VIB SPEC SHEET'!$H$59="MARKET GRADE",B30,IF('VIB SPEC SHEET'!$H$59="TENSILE BOLTING",K30,""))</f>
      </c>
      <c r="T30" s="38">
        <f>IF('VIB SPEC SHEET'!$H$63="MARKET GRADE",B30,IF('VIB SPEC SHEET'!$H$63="TENSILE BOLTING",K30,""))</f>
      </c>
    </row>
    <row r="31" spans="1:20" ht="15.75">
      <c r="A31" s="23" t="s">
        <v>66</v>
      </c>
      <c r="B31" s="28">
        <v>325</v>
      </c>
      <c r="C31" s="25">
        <v>0.0014</v>
      </c>
      <c r="D31" s="25">
        <v>0.0017</v>
      </c>
      <c r="E31" s="26">
        <f t="shared" si="0"/>
        <v>0.3007284079084287</v>
      </c>
      <c r="F31" s="27">
        <f t="shared" si="1"/>
        <v>0.043179999999999996</v>
      </c>
      <c r="G31" s="25">
        <v>0.42</v>
      </c>
      <c r="H31" s="29"/>
      <c r="K31" s="28">
        <v>74</v>
      </c>
      <c r="L31" s="25">
        <v>0.0037</v>
      </c>
      <c r="M31" s="25">
        <v>0.0098</v>
      </c>
      <c r="N31" s="26">
        <f t="shared" si="2"/>
        <v>0.5269684499314129</v>
      </c>
      <c r="O31" s="27">
        <f t="shared" si="3"/>
        <v>0.24891999999999997</v>
      </c>
      <c r="P31" s="25">
        <v>2.8</v>
      </c>
      <c r="Q31" s="30"/>
      <c r="R31" s="38">
        <f>IF('VIB SPEC SHEET'!$H$59="MARKET GRADE",B31,IF('VIB SPEC SHEET'!$H$59="TENSILE BOLTING",K31,""))</f>
      </c>
      <c r="T31" s="38">
        <f>IF('VIB SPEC SHEET'!$H$63="MARKET GRADE",B31,IF('VIB SPEC SHEET'!$H$63="TENSILE BOLTING",K31,""))</f>
      </c>
    </row>
    <row r="32" spans="1:20" ht="16.5" thickBot="1">
      <c r="A32" s="23" t="s">
        <v>66</v>
      </c>
      <c r="B32" s="31">
        <v>400</v>
      </c>
      <c r="C32" s="32">
        <v>0.001</v>
      </c>
      <c r="D32" s="32">
        <v>0.0015</v>
      </c>
      <c r="E32" s="36">
        <f t="shared" si="0"/>
        <v>0.36</v>
      </c>
      <c r="F32" s="33">
        <f t="shared" si="1"/>
        <v>0.0381</v>
      </c>
      <c r="G32" s="32">
        <v>0.38</v>
      </c>
      <c r="H32" s="29"/>
      <c r="K32" s="28">
        <v>76</v>
      </c>
      <c r="L32" s="25">
        <v>0.0037</v>
      </c>
      <c r="M32" s="25">
        <v>0.0095</v>
      </c>
      <c r="N32" s="26">
        <f t="shared" si="2"/>
        <v>0.517963728191001</v>
      </c>
      <c r="O32" s="27">
        <f t="shared" si="3"/>
        <v>0.2413</v>
      </c>
      <c r="P32" s="25">
        <v>2.7</v>
      </c>
      <c r="Q32" s="30"/>
      <c r="R32" s="38">
        <f>IF('VIB SPEC SHEET'!$H$59="MARKET GRADE",B32,IF('VIB SPEC SHEET'!$H$59="TENSILE BOLTING",K32,""))</f>
      </c>
      <c r="T32" s="38">
        <f>IF('VIB SPEC SHEET'!$H$63="MARKET GRADE",B32,IF('VIB SPEC SHEET'!$H$63="TENSILE BOLTING",K32,""))</f>
      </c>
    </row>
    <row r="33" spans="2:20" ht="15.75">
      <c r="B33" s="5"/>
      <c r="C33" s="5"/>
      <c r="D33" s="5"/>
      <c r="E33" s="5"/>
      <c r="F33" s="5"/>
      <c r="G33" s="5"/>
      <c r="H33" s="29"/>
      <c r="I33" s="5"/>
      <c r="K33" s="28">
        <v>78</v>
      </c>
      <c r="L33" s="25">
        <v>0.0037</v>
      </c>
      <c r="M33" s="25">
        <v>0.0091</v>
      </c>
      <c r="N33" s="26">
        <f t="shared" si="2"/>
        <v>0.50543212890625</v>
      </c>
      <c r="O33" s="27">
        <f t="shared" si="3"/>
        <v>0.23114</v>
      </c>
      <c r="P33" s="25">
        <v>2.6</v>
      </c>
      <c r="Q33" s="30"/>
      <c r="R33" s="38">
        <f>IF('VIB SPEC SHEET'!$H$59="MARKET GRADE","",IF('VIB SPEC SHEET'!$H$59="TENSILE BOLTING",K33,""))</f>
      </c>
      <c r="T33" s="38">
        <f>IF('VIB SPEC SHEET'!H$63="MARKET GRADE","",IF('VIB SPEC SHEET'!H$63="TENSILE BOLTING",K33,""))</f>
      </c>
    </row>
    <row r="34" spans="2:20" ht="15.75">
      <c r="B34" s="5"/>
      <c r="C34" s="5"/>
      <c r="D34" s="5"/>
      <c r="E34" s="5"/>
      <c r="F34" s="5"/>
      <c r="G34" s="5"/>
      <c r="H34" s="29"/>
      <c r="I34" s="5"/>
      <c r="K34" s="28">
        <v>80</v>
      </c>
      <c r="L34" s="25">
        <v>0.0037</v>
      </c>
      <c r="M34" s="25">
        <v>0.0088</v>
      </c>
      <c r="N34" s="26">
        <f t="shared" si="2"/>
        <v>0.49561599999999995</v>
      </c>
      <c r="O34" s="27">
        <f t="shared" si="3"/>
        <v>0.22352</v>
      </c>
      <c r="P34" s="25">
        <v>2.5</v>
      </c>
      <c r="Q34" s="30"/>
      <c r="R34" s="38">
        <f>IF('VIB SPEC SHEET'!$H$59="MARKET GRADE","",IF('VIB SPEC SHEET'!$H$59="TENSILE BOLTING",K34,""))</f>
      </c>
      <c r="T34" s="38">
        <f>IF('VIB SPEC SHEET'!H$63="MARKET GRADE","",IF('VIB SPEC SHEET'!H$63="TENSILE BOLTING",K34,""))</f>
      </c>
    </row>
    <row r="35" spans="2:20" ht="15.75">
      <c r="B35" s="5"/>
      <c r="C35" s="5"/>
      <c r="D35" s="5"/>
      <c r="E35" s="5"/>
      <c r="F35" s="5"/>
      <c r="G35" s="5"/>
      <c r="H35" s="29"/>
      <c r="I35" s="5"/>
      <c r="K35" s="28">
        <v>84</v>
      </c>
      <c r="L35" s="25">
        <v>0.0035</v>
      </c>
      <c r="M35" s="25">
        <v>0.0084</v>
      </c>
      <c r="N35" s="26">
        <f t="shared" si="2"/>
        <v>0.49826989619377166</v>
      </c>
      <c r="O35" s="27">
        <f t="shared" si="3"/>
        <v>0.21335999999999997</v>
      </c>
      <c r="P35" s="25">
        <v>2.4</v>
      </c>
      <c r="Q35" s="30"/>
      <c r="R35" s="38">
        <f>IF('VIB SPEC SHEET'!$H$59="MARKET GRADE","",IF('VIB SPEC SHEET'!$H$59="TENSILE BOLTING",K35,""))</f>
      </c>
      <c r="T35" s="38">
        <f>IF('VIB SPEC SHEET'!H$63="MARKET GRADE","",IF('VIB SPEC SHEET'!H$63="TENSILE BOLTING",K35,""))</f>
      </c>
    </row>
    <row r="36" spans="1:20" ht="15.75">
      <c r="A36" s="5"/>
      <c r="B36" s="5"/>
      <c r="C36" s="5"/>
      <c r="D36" s="5"/>
      <c r="E36" s="5"/>
      <c r="F36" s="5"/>
      <c r="G36" s="29"/>
      <c r="H36" s="29"/>
      <c r="I36" s="5"/>
      <c r="K36" s="28">
        <v>88</v>
      </c>
      <c r="L36" s="25">
        <v>0.0035</v>
      </c>
      <c r="M36" s="25">
        <v>0.0079</v>
      </c>
      <c r="N36" s="26">
        <f t="shared" si="2"/>
        <v>0.48022468451831335</v>
      </c>
      <c r="O36" s="27">
        <f t="shared" si="3"/>
        <v>0.20066</v>
      </c>
      <c r="P36" s="25">
        <v>2.2</v>
      </c>
      <c r="Q36" s="30"/>
      <c r="R36" s="38">
        <f>IF('VIB SPEC SHEET'!$H$59="MARKET GRADE","",IF('VIB SPEC SHEET'!$H$59="TENSILE BOLTING",K36,""))</f>
      </c>
      <c r="T36" s="38">
        <f>IF('VIB SPEC SHEET'!H$63="MARKET GRADE","",IF('VIB SPEC SHEET'!H$63="TENSILE BOLTING",K36,""))</f>
      </c>
    </row>
    <row r="37" spans="1:20" ht="15.75">
      <c r="A37" s="5"/>
      <c r="B37" s="5"/>
      <c r="C37" s="5"/>
      <c r="D37" s="5"/>
      <c r="E37" s="5"/>
      <c r="F37" s="5"/>
      <c r="G37" s="29"/>
      <c r="H37" s="29"/>
      <c r="I37" s="5"/>
      <c r="K37" s="28">
        <v>90</v>
      </c>
      <c r="L37" s="25">
        <v>0.0035</v>
      </c>
      <c r="M37" s="25">
        <v>0.0076</v>
      </c>
      <c r="N37" s="26">
        <f t="shared" si="2"/>
        <v>0.4687931174417661</v>
      </c>
      <c r="O37" s="27">
        <f t="shared" si="3"/>
        <v>0.19304</v>
      </c>
      <c r="P37" s="25">
        <v>2.1</v>
      </c>
      <c r="Q37" s="30"/>
      <c r="R37" s="38">
        <f>IF('VIB SPEC SHEET'!$H$59="MARKET GRADE","",IF('VIB SPEC SHEET'!$H$59="TENSILE BOLTING",K37,""))</f>
      </c>
      <c r="T37" s="38">
        <f>IF('VIB SPEC SHEET'!H$63="MARKET GRADE","",IF('VIB SPEC SHEET'!H$63="TENSILE BOLTING",K37,""))</f>
      </c>
    </row>
    <row r="38" spans="1:20" ht="15.75">
      <c r="A38" s="5"/>
      <c r="B38" s="5"/>
      <c r="C38" s="5"/>
      <c r="D38" s="5"/>
      <c r="E38" s="5"/>
      <c r="F38" s="5"/>
      <c r="G38" s="5"/>
      <c r="H38" s="5"/>
      <c r="I38" s="5"/>
      <c r="K38" s="28">
        <v>94</v>
      </c>
      <c r="L38" s="25">
        <v>0.0035</v>
      </c>
      <c r="M38" s="25">
        <v>0.0071</v>
      </c>
      <c r="N38" s="26">
        <f t="shared" si="2"/>
        <v>0.4486472054111784</v>
      </c>
      <c r="O38" s="27">
        <f t="shared" si="3"/>
        <v>0.18034</v>
      </c>
      <c r="P38" s="25">
        <v>2</v>
      </c>
      <c r="Q38" s="30"/>
      <c r="R38" s="38">
        <f>IF('VIB SPEC SHEET'!$H$59="MARKET GRADE","",IF('VIB SPEC SHEET'!$H$59="TENSILE BOLTING",K38,""))</f>
      </c>
      <c r="T38" s="38">
        <f>IF('VIB SPEC SHEET'!H$63="MARKET GRADE","",IF('VIB SPEC SHEET'!H$63="TENSILE BOLTING",K38,""))</f>
      </c>
    </row>
    <row r="39" spans="1:20" ht="15.75">
      <c r="A39" s="5"/>
      <c r="B39" s="5"/>
      <c r="C39" s="5"/>
      <c r="D39" s="5"/>
      <c r="E39" s="5"/>
      <c r="F39" s="5"/>
      <c r="G39" s="5"/>
      <c r="H39" s="34"/>
      <c r="I39" s="34"/>
      <c r="K39" s="28">
        <v>105</v>
      </c>
      <c r="L39" s="25">
        <v>0.003</v>
      </c>
      <c r="M39" s="25">
        <v>0.0065</v>
      </c>
      <c r="N39" s="26">
        <f t="shared" si="2"/>
        <v>0.4681440443213296</v>
      </c>
      <c r="O39" s="27">
        <f t="shared" si="3"/>
        <v>0.1651</v>
      </c>
      <c r="P39" s="25">
        <v>1.6</v>
      </c>
      <c r="Q39" s="30"/>
      <c r="R39" s="38">
        <f>IF('VIB SPEC SHEET'!$H$59="MARKET GRADE","",IF('VIB SPEC SHEET'!$H$59="TENSILE BOLTING",K39,""))</f>
      </c>
      <c r="T39" s="38">
        <f>IF('VIB SPEC SHEET'!H$63="MARKET GRADE","",IF('VIB SPEC SHEET'!H$63="TENSILE BOLTING",K39,""))</f>
      </c>
    </row>
    <row r="40" spans="1:20" ht="15.75">
      <c r="A40" s="5"/>
      <c r="B40" s="5"/>
      <c r="C40" s="5"/>
      <c r="D40" s="5"/>
      <c r="E40" s="5"/>
      <c r="F40" s="5"/>
      <c r="G40" s="5"/>
      <c r="H40" s="34"/>
      <c r="I40" s="34"/>
      <c r="K40" s="28">
        <v>120</v>
      </c>
      <c r="L40" s="25">
        <v>0.0025</v>
      </c>
      <c r="M40" s="25">
        <v>0.0058</v>
      </c>
      <c r="N40" s="26">
        <f t="shared" si="2"/>
        <v>0.48831470460153864</v>
      </c>
      <c r="O40" s="27">
        <f t="shared" si="3"/>
        <v>0.14731999999999998</v>
      </c>
      <c r="P40" s="25">
        <v>1.4</v>
      </c>
      <c r="Q40" s="30"/>
      <c r="R40" s="38">
        <f>IF('VIB SPEC SHEET'!$H$59="MARKET GRADE","",IF('VIB SPEC SHEET'!$H$59="TENSILE BOLTING",K40,""))</f>
      </c>
      <c r="T40" s="38">
        <f>IF('VIB SPEC SHEET'!H$63="MARKET GRADE","",IF('VIB SPEC SHEET'!H$63="TENSILE BOLTING",K40,""))</f>
      </c>
    </row>
    <row r="41" spans="1:20" ht="15.75">
      <c r="A41" s="5"/>
      <c r="B41" s="5"/>
      <c r="C41" s="35"/>
      <c r="D41" s="5"/>
      <c r="E41" s="5"/>
      <c r="F41" s="5"/>
      <c r="G41" s="5"/>
      <c r="H41" s="34"/>
      <c r="I41" s="34"/>
      <c r="K41" s="28">
        <v>145</v>
      </c>
      <c r="L41" s="25">
        <v>0.0022</v>
      </c>
      <c r="M41" s="25">
        <v>0.0047</v>
      </c>
      <c r="N41" s="26">
        <f t="shared" si="2"/>
        <v>0.46397815584961144</v>
      </c>
      <c r="O41" s="27">
        <f t="shared" si="3"/>
        <v>0.11938</v>
      </c>
      <c r="P41" s="25">
        <v>1.2</v>
      </c>
      <c r="Q41" s="30"/>
      <c r="R41" s="38">
        <f>IF('VIB SPEC SHEET'!$H$59="MARKET GRADE","",IF('VIB SPEC SHEET'!$H$59="TENSILE BOLTING",K41,""))</f>
      </c>
      <c r="T41" s="38">
        <f>IF('VIB SPEC SHEET'!H$63="MARKET GRADE","",IF('VIB SPEC SHEET'!H$63="TENSILE BOLTING",K41,""))</f>
      </c>
    </row>
    <row r="42" spans="1:20" ht="15.75">
      <c r="A42" s="5"/>
      <c r="B42" s="5"/>
      <c r="C42" s="35"/>
      <c r="D42" s="5"/>
      <c r="E42" s="5"/>
      <c r="F42" s="5"/>
      <c r="G42" s="5"/>
      <c r="H42" s="34"/>
      <c r="I42" s="34"/>
      <c r="K42" s="28">
        <v>165</v>
      </c>
      <c r="L42" s="25">
        <v>0.0019</v>
      </c>
      <c r="M42" s="25">
        <v>0.0042</v>
      </c>
      <c r="N42" s="26">
        <f t="shared" si="2"/>
        <v>0.4740661112604139</v>
      </c>
      <c r="O42" s="27">
        <f t="shared" si="3"/>
        <v>0.10667999999999998</v>
      </c>
      <c r="P42" s="25">
        <v>1.1</v>
      </c>
      <c r="Q42" s="30"/>
      <c r="R42" s="38">
        <f>IF('VIB SPEC SHEET'!$H$59="MARKET GRADE","",IF('VIB SPEC SHEET'!$H$59="TENSILE BOLTING",K42,""))</f>
      </c>
      <c r="T42" s="38">
        <f>IF('VIB SPEC SHEET'!H$63="MARKET GRADE","",IF('VIB SPEC SHEET'!H$63="TENSILE BOLTING",K42,""))</f>
      </c>
    </row>
    <row r="43" spans="1:20" ht="15.75">
      <c r="A43" s="5"/>
      <c r="B43" s="5"/>
      <c r="C43" s="35"/>
      <c r="D43" s="5"/>
      <c r="E43" s="5"/>
      <c r="F43" s="5"/>
      <c r="G43" s="5"/>
      <c r="H43" s="34"/>
      <c r="I43" s="34"/>
      <c r="K43" s="28">
        <v>200</v>
      </c>
      <c r="L43" s="25">
        <v>0.0016</v>
      </c>
      <c r="M43" s="25">
        <v>0.0034</v>
      </c>
      <c r="N43" s="26">
        <f t="shared" si="2"/>
        <v>0.4624</v>
      </c>
      <c r="O43" s="27">
        <f t="shared" si="3"/>
        <v>0.08635999999999999</v>
      </c>
      <c r="P43" s="25">
        <v>0.86</v>
      </c>
      <c r="Q43" s="30"/>
      <c r="R43" s="38">
        <f>IF('VIB SPEC SHEET'!$H$59="MARKET GRADE","",IF('VIB SPEC SHEET'!$H$59="TENSILE BOLTING",K43,""))</f>
      </c>
      <c r="T43" s="38">
        <f>IF('VIB SPEC SHEET'!H$63="MARKET GRADE","",IF('VIB SPEC SHEET'!H$63="TENSILE BOLTING",K43,""))</f>
      </c>
    </row>
    <row r="44" spans="1:20" ht="16.5" thickBot="1">
      <c r="A44" s="5"/>
      <c r="B44" s="5"/>
      <c r="C44" s="35"/>
      <c r="D44" s="5"/>
      <c r="E44" s="5"/>
      <c r="F44" s="5"/>
      <c r="G44" s="5"/>
      <c r="H44" s="34"/>
      <c r="I44" s="34"/>
      <c r="K44" s="31">
        <v>230</v>
      </c>
      <c r="L44" s="32">
        <v>0.0014</v>
      </c>
      <c r="M44" s="32">
        <v>0.0029</v>
      </c>
      <c r="N44" s="36">
        <f t="shared" si="2"/>
        <v>0.45484045429962133</v>
      </c>
      <c r="O44" s="33">
        <f t="shared" si="3"/>
        <v>0.07365999999999999</v>
      </c>
      <c r="P44" s="32">
        <v>0.74</v>
      </c>
      <c r="Q44" s="30"/>
      <c r="R44" s="38">
        <f>IF('VIB SPEC SHEET'!$H$59="MARKET GRADE","",IF('VIB SPEC SHEET'!$H$59="TENSILE BOLTING",K44,""))</f>
      </c>
      <c r="T44" s="38">
        <f>IF('VIB SPEC SHEET'!H$63="MARKET GRADE","",IF('VIB SPEC SHEET'!H$63="TENSILE BOLTING",K44,""))</f>
      </c>
    </row>
    <row r="45" spans="1:17" ht="12.75">
      <c r="A45" s="5"/>
      <c r="B45" s="5"/>
      <c r="C45" s="35"/>
      <c r="D45" s="5"/>
      <c r="E45" s="5"/>
      <c r="F45" s="5"/>
      <c r="G45" s="5"/>
      <c r="H45" s="34"/>
      <c r="I45" s="34"/>
      <c r="Q45" s="30"/>
    </row>
    <row r="46" spans="1:17" ht="12.75">
      <c r="A46" s="5"/>
      <c r="B46" s="5"/>
      <c r="C46" s="35"/>
      <c r="D46" s="5"/>
      <c r="E46" s="5"/>
      <c r="F46" s="5"/>
      <c r="G46" s="5"/>
      <c r="H46" s="34"/>
      <c r="I46" s="34"/>
      <c r="Q46" s="30"/>
    </row>
    <row r="47" spans="1:17" ht="12.75">
      <c r="A47" s="5"/>
      <c r="B47" s="5"/>
      <c r="C47" s="35"/>
      <c r="D47" s="5"/>
      <c r="E47" s="5"/>
      <c r="F47" s="5"/>
      <c r="G47" s="5"/>
      <c r="H47" s="34"/>
      <c r="I47" s="34"/>
      <c r="Q47" s="30"/>
    </row>
  </sheetData>
  <sheetProtection password="C18A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Mike Mankosa</Manager>
  <Company>ERIEZ Manufacturing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Vibratory Specification Sheet</dc:title>
  <dc:subject/>
  <dc:creator>KRISTOFER BARNS</dc:creator>
  <cp:keywords/>
  <dc:description/>
  <cp:lastModifiedBy>Graham, Mitch</cp:lastModifiedBy>
  <cp:lastPrinted>2007-03-10T15:22:30Z</cp:lastPrinted>
  <dcterms:created xsi:type="dcterms:W3CDTF">2006-02-10T16:04:28Z</dcterms:created>
  <dcterms:modified xsi:type="dcterms:W3CDTF">2016-01-12T20:37:17Z</dcterms:modified>
  <cp:category/>
  <cp:version/>
  <cp:contentType/>
  <cp:contentStatus/>
</cp:coreProperties>
</file>